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app\transparencia\nominas\"/>
    </mc:Choice>
  </mc:AlternateContent>
  <xr:revisionPtr revIDLastSave="0" documentId="13_ncr:1_{6A63DBF5-58D6-4C9F-A4C6-52927152EE69}" xr6:coauthVersionLast="47" xr6:coauthVersionMax="47" xr10:uidLastSave="{00000000-0000-0000-0000-000000000000}"/>
  <bookViews>
    <workbookView xWindow="-110" yWindow="-110" windowWidth="19420" windowHeight="10560" tabRatio="816" firstSheet="1" activeTab="7" xr2:uid="{00000000-000D-0000-FFFF-FFFF00000000}"/>
  </bookViews>
  <sheets>
    <sheet name="tarifa" sheetId="2" state="hidden" r:id="rId1"/>
    <sheet name="REGIDORES" sheetId="210" r:id="rId2"/>
    <sheet name="BASE" sheetId="205" r:id="rId3"/>
    <sheet name="EVENTUALES" sheetId="206" r:id="rId4"/>
    <sheet name="PENSIONADOS" sheetId="203" r:id="rId5"/>
    <sheet name="Apoyos" sheetId="211" r:id="rId6"/>
    <sheet name="PROT.CIVIL" sheetId="208" r:id="rId7"/>
    <sheet name="SEG. PUBLICA" sheetId="207" r:id="rId8"/>
    <sheet name="Calculo ISPT 2018 quincenal" sheetId="68" r:id="rId9"/>
  </sheets>
  <definedNames>
    <definedName name="_Regression_Int" localSheetId="8" hidden="1">1</definedName>
    <definedName name="_xlnm.Print_Area" localSheetId="2">BASE!$B$1:$AJ$119</definedName>
    <definedName name="_xlnm.Print_Area" localSheetId="3">EVENTUALES!$B$2:$AJ$171</definedName>
    <definedName name="_xlnm.Print_Area" localSheetId="4">PENSIONADOS!$B$1:$AJ$36</definedName>
    <definedName name="_xlnm.Print_Area" localSheetId="6">PROT.CIVIL!$B$1:$AJ$36</definedName>
    <definedName name="_xlnm.Print_Area" localSheetId="1">REGIDORES!$B$1:$AJ$34</definedName>
    <definedName name="_xlnm.Print_Area" localSheetId="7">'SEG. PUBLICA'!$B$2:$AJ$47</definedName>
    <definedName name="Credito1">'Calculo ISPT 2018 quincenal'!$AG$17:$AH$27</definedName>
    <definedName name="TARIFA1">'Calculo ISPT 2018 quincenal'!$Y$17:$AA$27</definedName>
    <definedName name="_xlnm.Print_Titles" localSheetId="7">'SEG. PUBLICA'!$2:$10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11" l="1"/>
  <c r="G16" i="211"/>
  <c r="H129" i="206" l="1"/>
  <c r="H132" i="206"/>
  <c r="H71" i="205" l="1"/>
  <c r="H98" i="206" l="1"/>
  <c r="R98" i="206" s="1"/>
  <c r="O98" i="206" l="1"/>
  <c r="Y98" i="206"/>
  <c r="W98" i="206"/>
  <c r="U98" i="206"/>
  <c r="S98" i="206"/>
  <c r="T98" i="206" s="1"/>
  <c r="H88" i="206"/>
  <c r="V98" i="206" l="1"/>
  <c r="X98" i="206" s="1"/>
  <c r="Z98" i="206" s="1"/>
  <c r="AC98" i="206" s="1"/>
  <c r="AH98" i="206" s="1"/>
  <c r="O137" i="206"/>
  <c r="AB98" i="206" l="1"/>
  <c r="AI98" i="206" s="1"/>
  <c r="H20" i="208"/>
  <c r="H21" i="208"/>
  <c r="H22" i="208"/>
  <c r="H23" i="208"/>
  <c r="H24" i="208"/>
  <c r="H25" i="208"/>
  <c r="H26" i="208"/>
  <c r="H27" i="208"/>
  <c r="H28" i="208"/>
  <c r="H12" i="208"/>
  <c r="H13" i="208"/>
  <c r="H14" i="208"/>
  <c r="H15" i="208"/>
  <c r="H16" i="208"/>
  <c r="H17" i="208"/>
  <c r="H18" i="208"/>
  <c r="H19" i="208"/>
  <c r="I140" i="206" l="1"/>
  <c r="J140" i="206"/>
  <c r="K140" i="206"/>
  <c r="L140" i="206"/>
  <c r="M140" i="206"/>
  <c r="N140" i="206"/>
  <c r="P140" i="206"/>
  <c r="AA140" i="206"/>
  <c r="AD140" i="206"/>
  <c r="AE140" i="206"/>
  <c r="AF140" i="206"/>
  <c r="AG140" i="206"/>
  <c r="H139" i="206"/>
  <c r="H26" i="205" l="1"/>
  <c r="H36" i="206" l="1"/>
  <c r="Q36" i="206"/>
  <c r="I37" i="206"/>
  <c r="J37" i="206"/>
  <c r="K37" i="206"/>
  <c r="L37" i="206"/>
  <c r="M37" i="206"/>
  <c r="N37" i="206"/>
  <c r="P37" i="206"/>
  <c r="AA37" i="206"/>
  <c r="AD37" i="206"/>
  <c r="AE37" i="206"/>
  <c r="AF37" i="206"/>
  <c r="AG37" i="206"/>
  <c r="O36" i="206"/>
  <c r="R36" i="206" l="1"/>
  <c r="W36" i="206" s="1"/>
  <c r="G54" i="211"/>
  <c r="G21" i="211"/>
  <c r="H12" i="207"/>
  <c r="H13" i="207"/>
  <c r="R13" i="207" s="1"/>
  <c r="H14" i="207"/>
  <c r="O14" i="207" s="1"/>
  <c r="Q14" i="207"/>
  <c r="Y13" i="207" l="1"/>
  <c r="W13" i="207"/>
  <c r="U13" i="207"/>
  <c r="S13" i="207"/>
  <c r="T13" i="207" s="1"/>
  <c r="O13" i="207"/>
  <c r="U36" i="206"/>
  <c r="Y36" i="206"/>
  <c r="S36" i="206"/>
  <c r="T36" i="206" s="1"/>
  <c r="AB13" i="207"/>
  <c r="R14" i="207"/>
  <c r="S14" i="207" s="1"/>
  <c r="U14" i="207"/>
  <c r="Y14" i="207"/>
  <c r="AB14" i="207" s="1"/>
  <c r="H66" i="205"/>
  <c r="V13" i="207" l="1"/>
  <c r="X13" i="207" s="1"/>
  <c r="Z13" i="207" s="1"/>
  <c r="AC13" i="207" s="1"/>
  <c r="AH13" i="207" s="1"/>
  <c r="AI13" i="207"/>
  <c r="V36" i="206"/>
  <c r="T14" i="207"/>
  <c r="V14" i="207" s="1"/>
  <c r="W14" i="207"/>
  <c r="X36" i="206" l="1"/>
  <c r="X14" i="207"/>
  <c r="Z14" i="207" s="1"/>
  <c r="AC14" i="207" s="1"/>
  <c r="AH14" i="207" s="1"/>
  <c r="AI14" i="207" s="1"/>
  <c r="H48" i="206"/>
  <c r="Z36" i="206" l="1"/>
  <c r="H15" i="207"/>
  <c r="H16" i="207"/>
  <c r="H17" i="207"/>
  <c r="H18" i="207"/>
  <c r="H19" i="207"/>
  <c r="H20" i="207"/>
  <c r="H21" i="207"/>
  <c r="H22" i="207"/>
  <c r="H23" i="207"/>
  <c r="H24" i="207"/>
  <c r="H25" i="207"/>
  <c r="H26" i="207"/>
  <c r="H27" i="207"/>
  <c r="H28" i="207"/>
  <c r="H29" i="207"/>
  <c r="H30" i="207"/>
  <c r="H31" i="207"/>
  <c r="H32" i="207"/>
  <c r="H33" i="207"/>
  <c r="H34" i="207"/>
  <c r="H35" i="207"/>
  <c r="H36" i="207"/>
  <c r="H37" i="207"/>
  <c r="H38" i="207"/>
  <c r="H39" i="207"/>
  <c r="H11" i="207"/>
  <c r="H109" i="205"/>
  <c r="H106" i="205"/>
  <c r="H105" i="205"/>
  <c r="H102" i="205"/>
  <c r="H99" i="205"/>
  <c r="H98" i="205"/>
  <c r="H97" i="205"/>
  <c r="H94" i="205"/>
  <c r="H93" i="205"/>
  <c r="H90" i="205"/>
  <c r="H87" i="205"/>
  <c r="H86" i="205"/>
  <c r="H82" i="205"/>
  <c r="H83" i="205"/>
  <c r="H81" i="205"/>
  <c r="H78" i="205"/>
  <c r="H77" i="205"/>
  <c r="H74" i="205"/>
  <c r="H67" i="205"/>
  <c r="H68" i="205"/>
  <c r="H69" i="205"/>
  <c r="H70" i="205"/>
  <c r="H63" i="205"/>
  <c r="H62" i="205"/>
  <c r="H59" i="205"/>
  <c r="H55" i="205"/>
  <c r="H52" i="205"/>
  <c r="H51" i="205"/>
  <c r="H53" i="205" s="1"/>
  <c r="H48" i="205"/>
  <c r="H47" i="205"/>
  <c r="H41" i="205"/>
  <c r="H42" i="205"/>
  <c r="H43" i="205"/>
  <c r="H44" i="205"/>
  <c r="H40" i="205"/>
  <c r="H37" i="205"/>
  <c r="H36" i="205"/>
  <c r="H31" i="205"/>
  <c r="H32" i="205"/>
  <c r="H33" i="205"/>
  <c r="H30" i="205"/>
  <c r="H27" i="205"/>
  <c r="H23" i="205"/>
  <c r="H15" i="205"/>
  <c r="H16" i="205"/>
  <c r="H17" i="205"/>
  <c r="H18" i="205"/>
  <c r="H19" i="205"/>
  <c r="H20" i="205"/>
  <c r="H14" i="205"/>
  <c r="H164" i="206"/>
  <c r="H161" i="206"/>
  <c r="H158" i="206"/>
  <c r="H155" i="206"/>
  <c r="H152" i="206"/>
  <c r="H138" i="206"/>
  <c r="H136" i="206"/>
  <c r="H130" i="206"/>
  <c r="H131" i="206"/>
  <c r="H133" i="206"/>
  <c r="H112" i="206"/>
  <c r="H113" i="206"/>
  <c r="H114" i="206"/>
  <c r="H115" i="206"/>
  <c r="H116" i="206"/>
  <c r="H117" i="206"/>
  <c r="H118" i="206"/>
  <c r="H119" i="206"/>
  <c r="H120" i="206"/>
  <c r="H121" i="206"/>
  <c r="H122" i="206"/>
  <c r="H123" i="206"/>
  <c r="H124" i="206"/>
  <c r="H125" i="206"/>
  <c r="H126" i="206"/>
  <c r="H111" i="206"/>
  <c r="H95" i="206"/>
  <c r="H96" i="206"/>
  <c r="H97" i="206"/>
  <c r="H99" i="206"/>
  <c r="H100" i="206"/>
  <c r="H101" i="206"/>
  <c r="H102" i="206"/>
  <c r="H103" i="206"/>
  <c r="H104" i="206"/>
  <c r="H105" i="206"/>
  <c r="H106" i="206"/>
  <c r="H107" i="206"/>
  <c r="H108" i="206"/>
  <c r="H94" i="206"/>
  <c r="H87" i="206"/>
  <c r="H89" i="206"/>
  <c r="H90" i="206"/>
  <c r="H91" i="206"/>
  <c r="H86" i="206"/>
  <c r="H83" i="206"/>
  <c r="H82" i="206"/>
  <c r="H72" i="206"/>
  <c r="H73" i="206"/>
  <c r="H74" i="206"/>
  <c r="H75" i="206"/>
  <c r="H76" i="206"/>
  <c r="H77" i="206"/>
  <c r="H78" i="206"/>
  <c r="H79" i="206"/>
  <c r="H71" i="206"/>
  <c r="H65" i="206"/>
  <c r="H66" i="206"/>
  <c r="H67" i="206"/>
  <c r="H68" i="206"/>
  <c r="H64" i="206"/>
  <c r="H61" i="206"/>
  <c r="H60" i="206"/>
  <c r="H59" i="206"/>
  <c r="H58" i="206"/>
  <c r="H57" i="206"/>
  <c r="H56" i="206"/>
  <c r="H55" i="206"/>
  <c r="H54" i="206"/>
  <c r="H53" i="206"/>
  <c r="H52" i="206"/>
  <c r="H51" i="206"/>
  <c r="H50" i="206"/>
  <c r="H49" i="206"/>
  <c r="H40" i="206"/>
  <c r="H41" i="206"/>
  <c r="H42" i="206"/>
  <c r="H43" i="206"/>
  <c r="H44" i="206"/>
  <c r="H45" i="206"/>
  <c r="H39" i="206"/>
  <c r="H33" i="206"/>
  <c r="H34" i="206"/>
  <c r="H35" i="206"/>
  <c r="O35" i="206" s="1"/>
  <c r="H32" i="206"/>
  <c r="H29" i="206"/>
  <c r="H28" i="206"/>
  <c r="H27" i="206"/>
  <c r="H24" i="206"/>
  <c r="H21" i="206"/>
  <c r="H20" i="206"/>
  <c r="H19" i="206"/>
  <c r="H18" i="206"/>
  <c r="H17" i="206"/>
  <c r="H16" i="206"/>
  <c r="H15" i="206"/>
  <c r="H14" i="206"/>
  <c r="H13" i="206"/>
  <c r="H37" i="206" l="1"/>
  <c r="H140" i="206"/>
  <c r="AC36" i="206"/>
  <c r="AB36" i="206"/>
  <c r="I165" i="206"/>
  <c r="J165" i="206"/>
  <c r="K165" i="206"/>
  <c r="L165" i="206"/>
  <c r="M165" i="206"/>
  <c r="N165" i="206"/>
  <c r="P165" i="206"/>
  <c r="Q165" i="206"/>
  <c r="AA165" i="206"/>
  <c r="AD165" i="206"/>
  <c r="AE165" i="206"/>
  <c r="AF165" i="206"/>
  <c r="AG165" i="206"/>
  <c r="H165" i="206"/>
  <c r="R164" i="206"/>
  <c r="R165" i="206" s="1"/>
  <c r="O164" i="206"/>
  <c r="O165" i="206" s="1"/>
  <c r="AH36" i="206" l="1"/>
  <c r="S164" i="206"/>
  <c r="U164" i="206"/>
  <c r="U165" i="206" s="1"/>
  <c r="W164" i="206"/>
  <c r="W165" i="206" s="1"/>
  <c r="Y164" i="206"/>
  <c r="Y165" i="206" s="1"/>
  <c r="AD94" i="206"/>
  <c r="O138" i="206"/>
  <c r="O139" i="206"/>
  <c r="O130" i="206"/>
  <c r="O131" i="206"/>
  <c r="O132" i="206"/>
  <c r="O133" i="206"/>
  <c r="O129" i="206"/>
  <c r="O66" i="206"/>
  <c r="O67" i="206"/>
  <c r="O68" i="206"/>
  <c r="O58" i="206"/>
  <c r="O56" i="206"/>
  <c r="O34" i="206"/>
  <c r="AI36" i="206" l="1"/>
  <c r="T164" i="206"/>
  <c r="T165" i="206" s="1"/>
  <c r="S165" i="206"/>
  <c r="V164" i="206"/>
  <c r="V165" i="206" s="1"/>
  <c r="O78" i="206"/>
  <c r="X164" i="206" l="1"/>
  <c r="Z164" i="206" s="1"/>
  <c r="AB164" i="206" s="1"/>
  <c r="B9" i="205"/>
  <c r="X165" i="206" l="1"/>
  <c r="AB165" i="206"/>
  <c r="AC164" i="206"/>
  <c r="Z165" i="206"/>
  <c r="AH164" i="206" l="1"/>
  <c r="AC165" i="206"/>
  <c r="AH165" i="206" l="1"/>
  <c r="AI164" i="206"/>
  <c r="AI165" i="206" s="1"/>
  <c r="R97" i="205"/>
  <c r="Y97" i="205" s="1"/>
  <c r="O97" i="205"/>
  <c r="S97" i="205" l="1"/>
  <c r="T97" i="205" s="1"/>
  <c r="U97" i="205"/>
  <c r="W97" i="205"/>
  <c r="V97" i="205" l="1"/>
  <c r="X97" i="205" s="1"/>
  <c r="Z97" i="205" s="1"/>
  <c r="H30" i="208"/>
  <c r="I30" i="208"/>
  <c r="J30" i="208"/>
  <c r="K30" i="208"/>
  <c r="L30" i="208"/>
  <c r="M30" i="208"/>
  <c r="N30" i="208"/>
  <c r="P30" i="208"/>
  <c r="AA30" i="208"/>
  <c r="AD30" i="208"/>
  <c r="AE30" i="208"/>
  <c r="AF30" i="208"/>
  <c r="AG30" i="208"/>
  <c r="Q27" i="208"/>
  <c r="R27" i="208" s="1"/>
  <c r="Q28" i="208"/>
  <c r="R28" i="208" s="1"/>
  <c r="O27" i="208"/>
  <c r="O28" i="208"/>
  <c r="Y28" i="208" l="1"/>
  <c r="W28" i="208"/>
  <c r="U28" i="208"/>
  <c r="S28" i="208"/>
  <c r="T28" i="208" s="1"/>
  <c r="Y27" i="208"/>
  <c r="W27" i="208"/>
  <c r="U27" i="208"/>
  <c r="S27" i="208"/>
  <c r="T27" i="208" s="1"/>
  <c r="V27" i="208" s="1"/>
  <c r="X27" i="208" s="1"/>
  <c r="Z27" i="208" s="1"/>
  <c r="AB97" i="205"/>
  <c r="AC97" i="205"/>
  <c r="AH97" i="205" s="1"/>
  <c r="V28" i="208" l="1"/>
  <c r="X28" i="208" s="1"/>
  <c r="Z28" i="208" s="1"/>
  <c r="AC28" i="208" s="1"/>
  <c r="AH28" i="208" s="1"/>
  <c r="AB28" i="208"/>
  <c r="AC27" i="208"/>
  <c r="AH27" i="208" s="1"/>
  <c r="AB27" i="208"/>
  <c r="AI97" i="205"/>
  <c r="Q122" i="206"/>
  <c r="R122" i="206" s="1"/>
  <c r="Y122" i="206" s="1"/>
  <c r="O122" i="206"/>
  <c r="O152" i="206"/>
  <c r="AI27" i="208" l="1"/>
  <c r="AI28" i="208"/>
  <c r="S122" i="206"/>
  <c r="T122" i="206" s="1"/>
  <c r="U122" i="206"/>
  <c r="W122" i="206"/>
  <c r="AG46" i="206"/>
  <c r="P46" i="206"/>
  <c r="AA46" i="206"/>
  <c r="AD46" i="206"/>
  <c r="AE46" i="206"/>
  <c r="AF46" i="206"/>
  <c r="I57" i="205"/>
  <c r="J57" i="205"/>
  <c r="K57" i="205"/>
  <c r="L57" i="205"/>
  <c r="M57" i="205"/>
  <c r="N57" i="205"/>
  <c r="P57" i="205"/>
  <c r="AA57" i="205"/>
  <c r="AD57" i="205"/>
  <c r="AE57" i="205"/>
  <c r="AF57" i="205"/>
  <c r="AG57" i="205"/>
  <c r="H57" i="205"/>
  <c r="I53" i="205"/>
  <c r="J53" i="205"/>
  <c r="K53" i="205"/>
  <c r="L53" i="205"/>
  <c r="M53" i="205"/>
  <c r="N53" i="205"/>
  <c r="P53" i="205"/>
  <c r="AA53" i="205"/>
  <c r="AD53" i="205"/>
  <c r="AE53" i="205"/>
  <c r="AF53" i="205"/>
  <c r="AG53" i="205"/>
  <c r="I49" i="205"/>
  <c r="J49" i="205"/>
  <c r="K49" i="205"/>
  <c r="L49" i="205"/>
  <c r="M49" i="205"/>
  <c r="N49" i="205"/>
  <c r="P49" i="205"/>
  <c r="AA49" i="205"/>
  <c r="AD49" i="205"/>
  <c r="AE49" i="205"/>
  <c r="AF49" i="205"/>
  <c r="AG49" i="205"/>
  <c r="H49" i="205"/>
  <c r="I45" i="205"/>
  <c r="J45" i="205"/>
  <c r="K45" i="205"/>
  <c r="L45" i="205"/>
  <c r="M45" i="205"/>
  <c r="N45" i="205"/>
  <c r="P45" i="205"/>
  <c r="AA45" i="205"/>
  <c r="AD45" i="205"/>
  <c r="AE45" i="205"/>
  <c r="AF45" i="205"/>
  <c r="AG45" i="205"/>
  <c r="H45" i="205"/>
  <c r="I38" i="205"/>
  <c r="J38" i="205"/>
  <c r="K38" i="205"/>
  <c r="L38" i="205"/>
  <c r="M38" i="205"/>
  <c r="N38" i="205"/>
  <c r="P38" i="205"/>
  <c r="AA38" i="205"/>
  <c r="AD38" i="205"/>
  <c r="AE38" i="205"/>
  <c r="AF38" i="205"/>
  <c r="AG38" i="205"/>
  <c r="H38" i="205"/>
  <c r="I34" i="205"/>
  <c r="J34" i="205"/>
  <c r="K34" i="205"/>
  <c r="L34" i="205"/>
  <c r="M34" i="205"/>
  <c r="N34" i="205"/>
  <c r="P34" i="205"/>
  <c r="AA34" i="205"/>
  <c r="AD34" i="205"/>
  <c r="AE34" i="205"/>
  <c r="AF34" i="205"/>
  <c r="AG34" i="205"/>
  <c r="H34" i="205"/>
  <c r="I28" i="205"/>
  <c r="J28" i="205"/>
  <c r="K28" i="205"/>
  <c r="L28" i="205"/>
  <c r="M28" i="205"/>
  <c r="N28" i="205"/>
  <c r="P28" i="205"/>
  <c r="AA28" i="205"/>
  <c r="AD28" i="205"/>
  <c r="AE28" i="205"/>
  <c r="AF28" i="205"/>
  <c r="AG28" i="205"/>
  <c r="H28" i="205"/>
  <c r="I21" i="205"/>
  <c r="J21" i="205"/>
  <c r="K21" i="205"/>
  <c r="L21" i="205"/>
  <c r="M21" i="205"/>
  <c r="N21" i="205"/>
  <c r="P21" i="205"/>
  <c r="AA21" i="205"/>
  <c r="AD21" i="205"/>
  <c r="AE21" i="205"/>
  <c r="AF21" i="205"/>
  <c r="AG21" i="205"/>
  <c r="H21" i="205"/>
  <c r="V122" i="206" l="1"/>
  <c r="X122" i="206" s="1"/>
  <c r="Z122" i="206" s="1"/>
  <c r="AG24" i="203"/>
  <c r="AB24" i="203"/>
  <c r="H24" i="203"/>
  <c r="AA112" i="205"/>
  <c r="AG27" i="210"/>
  <c r="H27" i="210"/>
  <c r="O71" i="205"/>
  <c r="Q71" i="205"/>
  <c r="R71" i="205" s="1"/>
  <c r="AB122" i="206" l="1"/>
  <c r="AC122" i="206"/>
  <c r="AH122" i="206" s="1"/>
  <c r="S71" i="205"/>
  <c r="T71" i="205" s="1"/>
  <c r="U71" i="205"/>
  <c r="W71" i="205"/>
  <c r="Y71" i="205"/>
  <c r="A44" i="211"/>
  <c r="A6" i="211"/>
  <c r="B12" i="203"/>
  <c r="B8" i="206"/>
  <c r="N53" i="211"/>
  <c r="P53" i="211"/>
  <c r="Q53" i="211" s="1"/>
  <c r="O15" i="207"/>
  <c r="O16" i="207"/>
  <c r="R137" i="206"/>
  <c r="R72" i="206"/>
  <c r="W72" i="206" s="1"/>
  <c r="O72" i="206"/>
  <c r="O73" i="206"/>
  <c r="Q73" i="206"/>
  <c r="R73" i="206" s="1"/>
  <c r="AF24" i="203"/>
  <c r="AE24" i="203"/>
  <c r="AD24" i="203"/>
  <c r="N24" i="203"/>
  <c r="M24" i="203"/>
  <c r="L24" i="203"/>
  <c r="K24" i="203"/>
  <c r="I24" i="203"/>
  <c r="W137" i="206" l="1"/>
  <c r="AI122" i="206"/>
  <c r="S72" i="206"/>
  <c r="T72" i="206" s="1"/>
  <c r="V71" i="205"/>
  <c r="X71" i="205" s="1"/>
  <c r="Z71" i="205" s="1"/>
  <c r="AC71" i="205" s="1"/>
  <c r="AH71" i="205" s="1"/>
  <c r="U72" i="206"/>
  <c r="Y72" i="206"/>
  <c r="Y137" i="206"/>
  <c r="S137" i="206"/>
  <c r="U137" i="206"/>
  <c r="S73" i="206"/>
  <c r="T73" i="206" s="1"/>
  <c r="U73" i="206"/>
  <c r="W73" i="206"/>
  <c r="Y73" i="206"/>
  <c r="T137" i="206" l="1"/>
  <c r="AB71" i="205"/>
  <c r="AI71" i="205" s="1"/>
  <c r="V72" i="206"/>
  <c r="X72" i="206" s="1"/>
  <c r="Z72" i="206" s="1"/>
  <c r="V73" i="206"/>
  <c r="X73" i="206" s="1"/>
  <c r="Z73" i="206" s="1"/>
  <c r="AC73" i="206" s="1"/>
  <c r="AH73" i="206" s="1"/>
  <c r="Q24" i="210"/>
  <c r="R24" i="210" s="1"/>
  <c r="O24" i="210"/>
  <c r="Q15" i="210"/>
  <c r="O15" i="210"/>
  <c r="O16" i="210"/>
  <c r="O19" i="210"/>
  <c r="AG162" i="206"/>
  <c r="H162" i="206"/>
  <c r="AG134" i="206"/>
  <c r="O134" i="206"/>
  <c r="H134" i="206"/>
  <c r="AG127" i="206"/>
  <c r="H127" i="206"/>
  <c r="H109" i="206"/>
  <c r="AG109" i="206"/>
  <c r="AG92" i="206"/>
  <c r="H92" i="206"/>
  <c r="AG84" i="206"/>
  <c r="H84" i="206"/>
  <c r="AG80" i="206"/>
  <c r="H80" i="206"/>
  <c r="AG69" i="206"/>
  <c r="H69" i="206"/>
  <c r="AG62" i="206"/>
  <c r="H62" i="206"/>
  <c r="H46" i="206"/>
  <c r="AG22" i="206"/>
  <c r="H22" i="206"/>
  <c r="H110" i="205"/>
  <c r="H107" i="205"/>
  <c r="H100" i="205"/>
  <c r="H84" i="205"/>
  <c r="H72" i="205"/>
  <c r="O62" i="205"/>
  <c r="H64" i="205"/>
  <c r="X110" i="205"/>
  <c r="Y110" i="205"/>
  <c r="Z110" i="205"/>
  <c r="R15" i="210" l="1"/>
  <c r="V137" i="206"/>
  <c r="AB73" i="206"/>
  <c r="AI73" i="206" s="1"/>
  <c r="AC72" i="206"/>
  <c r="AH72" i="206" s="1"/>
  <c r="AB72" i="206"/>
  <c r="Y24" i="210"/>
  <c r="W24" i="210"/>
  <c r="U24" i="210"/>
  <c r="S24" i="210"/>
  <c r="Y15" i="210"/>
  <c r="W15" i="210"/>
  <c r="U15" i="210"/>
  <c r="S15" i="210"/>
  <c r="T15" i="210" s="1"/>
  <c r="V15" i="210" s="1"/>
  <c r="X15" i="210" s="1"/>
  <c r="Z15" i="210" s="1"/>
  <c r="X137" i="206" l="1"/>
  <c r="AI72" i="206"/>
  <c r="T24" i="210"/>
  <c r="AC15" i="210"/>
  <c r="AB15" i="210"/>
  <c r="AH15" i="210" l="1"/>
  <c r="Z137" i="206"/>
  <c r="V24" i="210"/>
  <c r="AI15" i="210"/>
  <c r="AC137" i="206" l="1"/>
  <c r="AB137" i="206"/>
  <c r="X24" i="210"/>
  <c r="Q36" i="207"/>
  <c r="R36" i="207" s="1"/>
  <c r="U36" i="207" s="1"/>
  <c r="Q37" i="207"/>
  <c r="R37" i="207" s="1"/>
  <c r="U37" i="207" s="1"/>
  <c r="Q38" i="207"/>
  <c r="R38" i="207" s="1"/>
  <c r="U38" i="207" s="1"/>
  <c r="Q39" i="207"/>
  <c r="R39" i="207" s="1"/>
  <c r="U39" i="207" s="1"/>
  <c r="Q12" i="207"/>
  <c r="R12" i="207" s="1"/>
  <c r="Q15" i="207"/>
  <c r="R15" i="207" s="1"/>
  <c r="O36" i="207"/>
  <c r="O37" i="207"/>
  <c r="O38" i="207"/>
  <c r="O39" i="207"/>
  <c r="O12" i="207"/>
  <c r="Q25" i="208"/>
  <c r="R25" i="208" s="1"/>
  <c r="Y25" i="208" s="1"/>
  <c r="Q26" i="208"/>
  <c r="R26" i="208" s="1"/>
  <c r="U26" i="208" s="1"/>
  <c r="Q14" i="208"/>
  <c r="R14" i="208" s="1"/>
  <c r="Y14" i="208" s="1"/>
  <c r="O14" i="208"/>
  <c r="Q21" i="203"/>
  <c r="Q22" i="203"/>
  <c r="J21" i="203"/>
  <c r="R21" i="203" s="1"/>
  <c r="J22" i="203"/>
  <c r="R161" i="206"/>
  <c r="W161" i="206" s="1"/>
  <c r="R152" i="206"/>
  <c r="S152" i="206" s="1"/>
  <c r="S153" i="206" s="1"/>
  <c r="R136" i="206"/>
  <c r="R138" i="206"/>
  <c r="S138" i="206" s="1"/>
  <c r="R130" i="206"/>
  <c r="Y130" i="206" s="1"/>
  <c r="R131" i="206"/>
  <c r="S131" i="206" s="1"/>
  <c r="R132" i="206"/>
  <c r="Y132" i="206" s="1"/>
  <c r="R133" i="206"/>
  <c r="S133" i="206" s="1"/>
  <c r="R126" i="206"/>
  <c r="Y126" i="206" s="1"/>
  <c r="R112" i="206"/>
  <c r="Y112" i="206" s="1"/>
  <c r="R96" i="206"/>
  <c r="R97" i="206"/>
  <c r="U97" i="206" s="1"/>
  <c r="R99" i="206"/>
  <c r="U99" i="206" s="1"/>
  <c r="R100" i="206"/>
  <c r="S100" i="206" s="1"/>
  <c r="R101" i="206"/>
  <c r="R102" i="206"/>
  <c r="S102" i="206" s="1"/>
  <c r="R103" i="206"/>
  <c r="W103" i="206" s="1"/>
  <c r="R104" i="206"/>
  <c r="Y104" i="206" s="1"/>
  <c r="R105" i="206"/>
  <c r="W105" i="206" s="1"/>
  <c r="R106" i="206"/>
  <c r="S106" i="206" s="1"/>
  <c r="T106" i="206" s="1"/>
  <c r="R107" i="206"/>
  <c r="Y107" i="206" s="1"/>
  <c r="R108" i="206"/>
  <c r="W108" i="206" s="1"/>
  <c r="R94" i="206"/>
  <c r="R91" i="206"/>
  <c r="S91" i="206" s="1"/>
  <c r="R90" i="206"/>
  <c r="Y90" i="206" s="1"/>
  <c r="R86" i="206"/>
  <c r="R87" i="206"/>
  <c r="Y87" i="206" s="1"/>
  <c r="R88" i="206"/>
  <c r="R89" i="206"/>
  <c r="Y89" i="206" s="1"/>
  <c r="R71" i="206"/>
  <c r="R67" i="206"/>
  <c r="Y67" i="206" s="1"/>
  <c r="R64" i="206"/>
  <c r="R50" i="206"/>
  <c r="Y50" i="206" s="1"/>
  <c r="R51" i="206"/>
  <c r="R52" i="206"/>
  <c r="Y52" i="206" s="1"/>
  <c r="R53" i="206"/>
  <c r="R54" i="206"/>
  <c r="Y54" i="206" s="1"/>
  <c r="R55" i="206"/>
  <c r="R56" i="206"/>
  <c r="Y56" i="206" s="1"/>
  <c r="R57" i="206"/>
  <c r="R58" i="206"/>
  <c r="Y58" i="206" s="1"/>
  <c r="R41" i="206"/>
  <c r="R43" i="206"/>
  <c r="Y43" i="206" s="1"/>
  <c r="R44" i="206"/>
  <c r="W44" i="206" s="1"/>
  <c r="R39" i="206"/>
  <c r="Y39" i="206" s="1"/>
  <c r="R28" i="206"/>
  <c r="Y28" i="206" s="1"/>
  <c r="Q124" i="206"/>
  <c r="R124" i="206" s="1"/>
  <c r="Y124" i="206" s="1"/>
  <c r="Q125" i="206"/>
  <c r="R125" i="206" s="1"/>
  <c r="Y125" i="206" s="1"/>
  <c r="Q115" i="206"/>
  <c r="R115" i="206" s="1"/>
  <c r="Y115" i="206" s="1"/>
  <c r="Q116" i="206"/>
  <c r="R116" i="206" s="1"/>
  <c r="Y116" i="206" s="1"/>
  <c r="Q117" i="206"/>
  <c r="R117" i="206" s="1"/>
  <c r="S117" i="206" s="1"/>
  <c r="Q118" i="206"/>
  <c r="R118" i="206" s="1"/>
  <c r="S118" i="206" s="1"/>
  <c r="Q83" i="206"/>
  <c r="R83" i="206" s="1"/>
  <c r="Q76" i="206"/>
  <c r="R76" i="206" s="1"/>
  <c r="Q33" i="206"/>
  <c r="R33" i="206" s="1"/>
  <c r="Y33" i="206" s="1"/>
  <c r="Q34" i="206"/>
  <c r="R34" i="206" s="1"/>
  <c r="Q35" i="206"/>
  <c r="R35" i="206" s="1"/>
  <c r="Y35" i="206" s="1"/>
  <c r="Q27" i="206"/>
  <c r="Q14" i="206"/>
  <c r="R14" i="206" s="1"/>
  <c r="Y14" i="206" s="1"/>
  <c r="Q15" i="206"/>
  <c r="R15" i="206" s="1"/>
  <c r="S15" i="206" s="1"/>
  <c r="Q16" i="206"/>
  <c r="R16" i="206" s="1"/>
  <c r="Y16" i="206" s="1"/>
  <c r="Q17" i="206"/>
  <c r="R17" i="206" s="1"/>
  <c r="S17" i="206" s="1"/>
  <c r="Q18" i="206"/>
  <c r="R18" i="206" s="1"/>
  <c r="Y18" i="206" s="1"/>
  <c r="Q19" i="206"/>
  <c r="R19" i="206" s="1"/>
  <c r="S19" i="206" s="1"/>
  <c r="Q20" i="206"/>
  <c r="R20" i="206" s="1"/>
  <c r="Y20" i="206" s="1"/>
  <c r="Q21" i="206"/>
  <c r="R21" i="206" s="1"/>
  <c r="S21" i="206" s="1"/>
  <c r="O161" i="206"/>
  <c r="O162" i="206" s="1"/>
  <c r="O136" i="206"/>
  <c r="O140" i="206" s="1"/>
  <c r="O124" i="206"/>
  <c r="O125" i="206"/>
  <c r="O126" i="206"/>
  <c r="O115" i="206"/>
  <c r="O116" i="206"/>
  <c r="O117" i="206"/>
  <c r="O118" i="206"/>
  <c r="O112" i="206"/>
  <c r="O96" i="206"/>
  <c r="O97" i="206"/>
  <c r="O99" i="206"/>
  <c r="O100" i="206"/>
  <c r="O101" i="206"/>
  <c r="O102" i="206"/>
  <c r="O103" i="206"/>
  <c r="O104" i="206"/>
  <c r="O105" i="206"/>
  <c r="O106" i="206"/>
  <c r="O107" i="206"/>
  <c r="O108" i="206"/>
  <c r="O94" i="206"/>
  <c r="O91" i="206"/>
  <c r="O86" i="206"/>
  <c r="O87" i="206"/>
  <c r="O88" i="206"/>
  <c r="O89" i="206"/>
  <c r="O83" i="206"/>
  <c r="O76" i="206"/>
  <c r="O71" i="206"/>
  <c r="O64" i="206"/>
  <c r="O49" i="206"/>
  <c r="O50" i="206"/>
  <c r="O51" i="206"/>
  <c r="O52" i="206"/>
  <c r="O53" i="206"/>
  <c r="O54" i="206"/>
  <c r="O55" i="206"/>
  <c r="O57" i="206"/>
  <c r="O59" i="206"/>
  <c r="O60" i="206"/>
  <c r="O61" i="206"/>
  <c r="O44" i="206"/>
  <c r="O43" i="206"/>
  <c r="O41" i="206"/>
  <c r="O39" i="206"/>
  <c r="O33" i="206"/>
  <c r="O28" i="206"/>
  <c r="O14" i="206"/>
  <c r="O15" i="206"/>
  <c r="O16" i="206"/>
  <c r="O17" i="206"/>
  <c r="O18" i="206"/>
  <c r="O19" i="206"/>
  <c r="O20" i="206"/>
  <c r="O21" i="206"/>
  <c r="K134" i="206"/>
  <c r="J134" i="206"/>
  <c r="I134" i="206"/>
  <c r="AG84" i="205"/>
  <c r="AF84" i="205"/>
  <c r="AE84" i="205"/>
  <c r="AD84" i="205"/>
  <c r="R109" i="205"/>
  <c r="R106" i="205"/>
  <c r="Y106" i="205" s="1"/>
  <c r="R83" i="205"/>
  <c r="R66" i="205"/>
  <c r="R63" i="205"/>
  <c r="R47" i="205"/>
  <c r="R44" i="205"/>
  <c r="R40" i="205"/>
  <c r="R37" i="205"/>
  <c r="R32" i="205"/>
  <c r="R27" i="205"/>
  <c r="R15" i="205"/>
  <c r="R18" i="205"/>
  <c r="R19" i="205"/>
  <c r="O109" i="205"/>
  <c r="O110" i="205" s="1"/>
  <c r="O105" i="205"/>
  <c r="O106" i="205"/>
  <c r="O82" i="205"/>
  <c r="O83" i="205"/>
  <c r="O66" i="205"/>
  <c r="O63" i="205"/>
  <c r="O64" i="205" s="1"/>
  <c r="O47" i="205"/>
  <c r="O31" i="205"/>
  <c r="O32" i="205"/>
  <c r="O27" i="205"/>
  <c r="O20" i="205"/>
  <c r="O15" i="205"/>
  <c r="O16" i="205"/>
  <c r="O17" i="205"/>
  <c r="O18" i="205"/>
  <c r="O19" i="205"/>
  <c r="N84" i="205"/>
  <c r="M84" i="205"/>
  <c r="L84" i="205"/>
  <c r="K84" i="205"/>
  <c r="J84" i="205"/>
  <c r="I84" i="205"/>
  <c r="R22" i="203" l="1"/>
  <c r="W12" i="207"/>
  <c r="U12" i="207"/>
  <c r="Y12" i="207"/>
  <c r="AB12" i="207" s="1"/>
  <c r="W136" i="206"/>
  <c r="AH137" i="206"/>
  <c r="U25" i="208"/>
  <c r="Z24" i="210"/>
  <c r="O107" i="205"/>
  <c r="S26" i="208"/>
  <c r="T26" i="208" s="1"/>
  <c r="V26" i="208" s="1"/>
  <c r="W26" i="208"/>
  <c r="Y26" i="208"/>
  <c r="S25" i="208"/>
  <c r="T25" i="208" s="1"/>
  <c r="W25" i="208"/>
  <c r="S14" i="208"/>
  <c r="T14" i="208" s="1"/>
  <c r="U14" i="208"/>
  <c r="W14" i="208"/>
  <c r="Y21" i="203"/>
  <c r="W21" i="203"/>
  <c r="U21" i="203"/>
  <c r="S21" i="203"/>
  <c r="T21" i="203" s="1"/>
  <c r="Y22" i="203"/>
  <c r="W22" i="203"/>
  <c r="U22" i="203"/>
  <c r="S22" i="203"/>
  <c r="T22" i="203" s="1"/>
  <c r="S19" i="205"/>
  <c r="T19" i="205" s="1"/>
  <c r="Y19" i="205"/>
  <c r="S15" i="205"/>
  <c r="T15" i="205" s="1"/>
  <c r="Y15" i="205"/>
  <c r="S32" i="205"/>
  <c r="T32" i="205" s="1"/>
  <c r="Y32" i="205"/>
  <c r="W40" i="205"/>
  <c r="Y40" i="205"/>
  <c r="W47" i="205"/>
  <c r="Y47" i="205"/>
  <c r="W66" i="205"/>
  <c r="Y66" i="205"/>
  <c r="W109" i="205"/>
  <c r="Y109" i="205"/>
  <c r="S18" i="205"/>
  <c r="T18" i="205" s="1"/>
  <c r="Y18" i="205"/>
  <c r="S27" i="205"/>
  <c r="T27" i="205" s="1"/>
  <c r="Y27" i="205"/>
  <c r="S37" i="205"/>
  <c r="T37" i="205" s="1"/>
  <c r="Y37" i="205"/>
  <c r="W44" i="205"/>
  <c r="Y44" i="205"/>
  <c r="S63" i="205"/>
  <c r="T63" i="205" s="1"/>
  <c r="Y63" i="205"/>
  <c r="W83" i="205"/>
  <c r="Y83" i="205"/>
  <c r="S44" i="205"/>
  <c r="T44" i="205" s="1"/>
  <c r="S66" i="205"/>
  <c r="T66" i="205" s="1"/>
  <c r="S83" i="205"/>
  <c r="U32" i="205"/>
  <c r="U37" i="205"/>
  <c r="U44" i="205"/>
  <c r="U63" i="205"/>
  <c r="U83" i="205"/>
  <c r="U106" i="205"/>
  <c r="W32" i="205"/>
  <c r="W37" i="205"/>
  <c r="W63" i="205"/>
  <c r="W106" i="205"/>
  <c r="S40" i="205"/>
  <c r="S47" i="205"/>
  <c r="S106" i="205"/>
  <c r="T106" i="205" s="1"/>
  <c r="S109" i="205"/>
  <c r="T109" i="205" s="1"/>
  <c r="T40" i="205"/>
  <c r="T83" i="205"/>
  <c r="U27" i="205"/>
  <c r="U40" i="205"/>
  <c r="U47" i="205"/>
  <c r="U66" i="205"/>
  <c r="U109" i="205"/>
  <c r="W27" i="205"/>
  <c r="S12" i="207"/>
  <c r="T12" i="207" s="1"/>
  <c r="S38" i="207"/>
  <c r="T38" i="207" s="1"/>
  <c r="V38" i="207" s="1"/>
  <c r="Y38" i="207"/>
  <c r="W38" i="207"/>
  <c r="S36" i="207"/>
  <c r="T36" i="207" s="1"/>
  <c r="V36" i="207" s="1"/>
  <c r="Y36" i="207"/>
  <c r="W36" i="207"/>
  <c r="Y15" i="207"/>
  <c r="AB15" i="207" s="1"/>
  <c r="W15" i="207"/>
  <c r="U15" i="207"/>
  <c r="S15" i="207"/>
  <c r="T15" i="207" s="1"/>
  <c r="Y39" i="207"/>
  <c r="W39" i="207"/>
  <c r="S39" i="207"/>
  <c r="T39" i="207" s="1"/>
  <c r="Y37" i="207"/>
  <c r="W37" i="207"/>
  <c r="S37" i="207"/>
  <c r="T37" i="207" s="1"/>
  <c r="Y118" i="206"/>
  <c r="Y131" i="206"/>
  <c r="Y152" i="206"/>
  <c r="Y153" i="206" s="1"/>
  <c r="Y133" i="206"/>
  <c r="Y138" i="206"/>
  <c r="W89" i="206"/>
  <c r="W107" i="206"/>
  <c r="W125" i="206"/>
  <c r="Y105" i="206"/>
  <c r="Y103" i="206"/>
  <c r="W67" i="206"/>
  <c r="W115" i="206"/>
  <c r="Y106" i="206"/>
  <c r="Y108" i="206"/>
  <c r="Y117" i="206"/>
  <c r="Y136" i="206"/>
  <c r="Y161" i="206"/>
  <c r="S34" i="206"/>
  <c r="T34" i="206" s="1"/>
  <c r="Y34" i="206"/>
  <c r="W34" i="206"/>
  <c r="S76" i="206"/>
  <c r="T76" i="206" s="1"/>
  <c r="Y76" i="206"/>
  <c r="S116" i="206"/>
  <c r="T116" i="206" s="1"/>
  <c r="W116" i="206"/>
  <c r="S124" i="206"/>
  <c r="W124" i="206"/>
  <c r="U124" i="206"/>
  <c r="S41" i="206"/>
  <c r="T41" i="206" s="1"/>
  <c r="Y41" i="206"/>
  <c r="S57" i="206"/>
  <c r="T57" i="206" s="1"/>
  <c r="Y57" i="206"/>
  <c r="S55" i="206"/>
  <c r="Y55" i="206"/>
  <c r="S53" i="206"/>
  <c r="T53" i="206" s="1"/>
  <c r="Y53" i="206"/>
  <c r="S51" i="206"/>
  <c r="T51" i="206" s="1"/>
  <c r="Y51" i="206"/>
  <c r="W64" i="206"/>
  <c r="U64" i="206"/>
  <c r="S71" i="206"/>
  <c r="T71" i="206" s="1"/>
  <c r="W71" i="206"/>
  <c r="W88" i="206"/>
  <c r="U88" i="206"/>
  <c r="S86" i="206"/>
  <c r="T86" i="206" s="1"/>
  <c r="W86" i="206"/>
  <c r="S104" i="206"/>
  <c r="T104" i="206" s="1"/>
  <c r="W104" i="206"/>
  <c r="U104" i="206"/>
  <c r="S112" i="206"/>
  <c r="W112" i="206"/>
  <c r="S44" i="206"/>
  <c r="T44" i="206" s="1"/>
  <c r="S88" i="206"/>
  <c r="T88" i="206" s="1"/>
  <c r="S108" i="206"/>
  <c r="T108" i="206" s="1"/>
  <c r="T19" i="206"/>
  <c r="T15" i="206"/>
  <c r="T55" i="206"/>
  <c r="T124" i="206"/>
  <c r="U57" i="206"/>
  <c r="U53" i="206"/>
  <c r="U71" i="206"/>
  <c r="U108" i="206"/>
  <c r="W91" i="206"/>
  <c r="W97" i="206"/>
  <c r="W131" i="206"/>
  <c r="W152" i="206"/>
  <c r="W153" i="206" s="1"/>
  <c r="Y19" i="206"/>
  <c r="Y15" i="206"/>
  <c r="Y44" i="206"/>
  <c r="Y71" i="206"/>
  <c r="Y88" i="206"/>
  <c r="Y91" i="206"/>
  <c r="Y97" i="206"/>
  <c r="S83" i="206"/>
  <c r="T83" i="206" s="1"/>
  <c r="W83" i="206"/>
  <c r="S94" i="206"/>
  <c r="Y94" i="206"/>
  <c r="W94" i="206"/>
  <c r="Y101" i="206"/>
  <c r="W101" i="206"/>
  <c r="S96" i="206"/>
  <c r="T96" i="206" s="1"/>
  <c r="Y96" i="206"/>
  <c r="W96" i="206"/>
  <c r="S126" i="206"/>
  <c r="T126" i="206" s="1"/>
  <c r="W126" i="206"/>
  <c r="S132" i="206"/>
  <c r="W132" i="206"/>
  <c r="W130" i="206"/>
  <c r="U130" i="206"/>
  <c r="S64" i="206"/>
  <c r="T64" i="206" s="1"/>
  <c r="S99" i="206"/>
  <c r="T99" i="206" s="1"/>
  <c r="V99" i="206" s="1"/>
  <c r="T21" i="206"/>
  <c r="T17" i="206"/>
  <c r="T112" i="206"/>
  <c r="T132" i="206"/>
  <c r="U41" i="206"/>
  <c r="U55" i="206"/>
  <c r="U51" i="206"/>
  <c r="U86" i="206"/>
  <c r="U112" i="206"/>
  <c r="W41" i="206"/>
  <c r="W76" i="206"/>
  <c r="W87" i="206"/>
  <c r="W99" i="206"/>
  <c r="W117" i="206"/>
  <c r="W118" i="206"/>
  <c r="W133" i="206"/>
  <c r="W138" i="206"/>
  <c r="Y21" i="206"/>
  <c r="Y17" i="206"/>
  <c r="Y64" i="206"/>
  <c r="Y83" i="206"/>
  <c r="Y86" i="206"/>
  <c r="Y99" i="206"/>
  <c r="S20" i="206"/>
  <c r="T20" i="206" s="1"/>
  <c r="W20" i="206"/>
  <c r="U20" i="206"/>
  <c r="S16" i="206"/>
  <c r="T16" i="206" s="1"/>
  <c r="S115" i="206"/>
  <c r="T115" i="206" s="1"/>
  <c r="U115" i="206"/>
  <c r="S18" i="206"/>
  <c r="T18" i="206" s="1"/>
  <c r="W18" i="206"/>
  <c r="S14" i="206"/>
  <c r="T14" i="206" s="1"/>
  <c r="S35" i="206"/>
  <c r="T35" i="206" s="1"/>
  <c r="W35" i="206"/>
  <c r="U35" i="206"/>
  <c r="S33" i="206"/>
  <c r="T33" i="206" s="1"/>
  <c r="W33" i="206"/>
  <c r="S125" i="206"/>
  <c r="U125" i="206"/>
  <c r="T125" i="206"/>
  <c r="W28" i="206"/>
  <c r="U28" i="206"/>
  <c r="S28" i="206"/>
  <c r="T28" i="206" s="1"/>
  <c r="S39" i="206"/>
  <c r="T39" i="206" s="1"/>
  <c r="U39" i="206"/>
  <c r="W39" i="206"/>
  <c r="S43" i="206"/>
  <c r="T43" i="206" s="1"/>
  <c r="W43" i="206"/>
  <c r="U58" i="206"/>
  <c r="S58" i="206"/>
  <c r="T58" i="206" s="1"/>
  <c r="W58" i="206"/>
  <c r="U56" i="206"/>
  <c r="U54" i="206"/>
  <c r="S54" i="206"/>
  <c r="T54" i="206" s="1"/>
  <c r="W54" i="206"/>
  <c r="U52" i="206"/>
  <c r="W52" i="206"/>
  <c r="U50" i="206"/>
  <c r="S50" i="206"/>
  <c r="T50" i="206" s="1"/>
  <c r="W50" i="206"/>
  <c r="S67" i="206"/>
  <c r="T67" i="206" s="1"/>
  <c r="U67" i="206"/>
  <c r="S89" i="206"/>
  <c r="T89" i="206" s="1"/>
  <c r="U89" i="206"/>
  <c r="S87" i="206"/>
  <c r="T87" i="206" s="1"/>
  <c r="U87" i="206"/>
  <c r="S107" i="206"/>
  <c r="T107" i="206" s="1"/>
  <c r="U107" i="206"/>
  <c r="S105" i="206"/>
  <c r="T105" i="206" s="1"/>
  <c r="U105" i="206"/>
  <c r="S103" i="206"/>
  <c r="U103" i="206"/>
  <c r="T103" i="206"/>
  <c r="S101" i="206"/>
  <c r="T101" i="206" s="1"/>
  <c r="S52" i="206"/>
  <c r="T52" i="206" s="1"/>
  <c r="T117" i="206"/>
  <c r="U43" i="206"/>
  <c r="U83" i="206"/>
  <c r="U94" i="206"/>
  <c r="U101" i="206"/>
  <c r="S136" i="206"/>
  <c r="U136" i="206"/>
  <c r="S161" i="206"/>
  <c r="T161" i="206" s="1"/>
  <c r="U161" i="206"/>
  <c r="S56" i="206"/>
  <c r="T56" i="206" s="1"/>
  <c r="S130" i="206"/>
  <c r="T130" i="206" s="1"/>
  <c r="T94" i="206"/>
  <c r="V124" i="206"/>
  <c r="U18" i="206"/>
  <c r="U33" i="206"/>
  <c r="U96" i="206"/>
  <c r="U126" i="206"/>
  <c r="U117" i="206"/>
  <c r="U132" i="206"/>
  <c r="S97" i="206"/>
  <c r="T97" i="206" s="1"/>
  <c r="V97" i="206" s="1"/>
  <c r="T91" i="206"/>
  <c r="T118" i="206"/>
  <c r="T133" i="206"/>
  <c r="T131" i="206"/>
  <c r="T138" i="206"/>
  <c r="T152" i="206"/>
  <c r="U21" i="206"/>
  <c r="U19" i="206"/>
  <c r="U34" i="206"/>
  <c r="U44" i="206"/>
  <c r="U76" i="206"/>
  <c r="U91" i="206"/>
  <c r="U118" i="206"/>
  <c r="U116" i="206"/>
  <c r="U133" i="206"/>
  <c r="U131" i="206"/>
  <c r="U138" i="206"/>
  <c r="U152" i="206"/>
  <c r="U153" i="206" s="1"/>
  <c r="W21" i="206"/>
  <c r="W19" i="206"/>
  <c r="W55" i="206"/>
  <c r="W53" i="206"/>
  <c r="W51" i="206"/>
  <c r="W57" i="206"/>
  <c r="U18" i="205"/>
  <c r="W18" i="205"/>
  <c r="U19" i="205"/>
  <c r="U15" i="205"/>
  <c r="W19" i="205"/>
  <c r="W15" i="205"/>
  <c r="V12" i="207" l="1"/>
  <c r="X12" i="207" s="1"/>
  <c r="Z12" i="207" s="1"/>
  <c r="T136" i="206"/>
  <c r="AI137" i="206"/>
  <c r="X36" i="207"/>
  <c r="Z36" i="207" s="1"/>
  <c r="AC36" i="207" s="1"/>
  <c r="AH36" i="207" s="1"/>
  <c r="AI36" i="207" s="1"/>
  <c r="X38" i="207"/>
  <c r="Z38" i="207" s="1"/>
  <c r="AC38" i="207" s="1"/>
  <c r="AH38" i="207" s="1"/>
  <c r="AI38" i="207" s="1"/>
  <c r="V25" i="208"/>
  <c r="X25" i="208" s="1"/>
  <c r="Z25" i="208" s="1"/>
  <c r="V37" i="207"/>
  <c r="X37" i="207" s="1"/>
  <c r="Z37" i="207" s="1"/>
  <c r="AC37" i="207" s="1"/>
  <c r="AH37" i="207" s="1"/>
  <c r="AI37" i="207" s="1"/>
  <c r="AC12" i="207"/>
  <c r="AH12" i="207" s="1"/>
  <c r="AI12" i="207" s="1"/>
  <c r="T47" i="205"/>
  <c r="V14" i="208"/>
  <c r="X14" i="208" s="1"/>
  <c r="Z14" i="208" s="1"/>
  <c r="AB14" i="208" s="1"/>
  <c r="V83" i="205"/>
  <c r="X83" i="205" s="1"/>
  <c r="V32" i="205"/>
  <c r="X32" i="205" s="1"/>
  <c r="V37" i="205"/>
  <c r="X37" i="205" s="1"/>
  <c r="Z37" i="205" s="1"/>
  <c r="AB37" i="205" s="1"/>
  <c r="AB24" i="210"/>
  <c r="AC24" i="210"/>
  <c r="X26" i="208"/>
  <c r="Z26" i="208" s="1"/>
  <c r="V58" i="206"/>
  <c r="X58" i="206" s="1"/>
  <c r="Z58" i="206" s="1"/>
  <c r="V41" i="206"/>
  <c r="X41" i="206" s="1"/>
  <c r="Z41" i="206" s="1"/>
  <c r="V22" i="203"/>
  <c r="X22" i="203" s="1"/>
  <c r="Z22" i="203" s="1"/>
  <c r="V21" i="203"/>
  <c r="X21" i="203" s="1"/>
  <c r="Z21" i="203" s="1"/>
  <c r="V57" i="206"/>
  <c r="X57" i="206" s="1"/>
  <c r="Z57" i="206" s="1"/>
  <c r="V39" i="207"/>
  <c r="X39" i="207" s="1"/>
  <c r="Z39" i="207" s="1"/>
  <c r="AC39" i="207" s="1"/>
  <c r="AH39" i="207" s="1"/>
  <c r="AI39" i="207" s="1"/>
  <c r="V15" i="207"/>
  <c r="X15" i="207" s="1"/>
  <c r="Z15" i="207" s="1"/>
  <c r="AC15" i="207" s="1"/>
  <c r="AH15" i="207" s="1"/>
  <c r="AI15" i="207" s="1"/>
  <c r="V18" i="205"/>
  <c r="Z83" i="205"/>
  <c r="AC83" i="205" s="1"/>
  <c r="AH83" i="205" s="1"/>
  <c r="V53" i="206"/>
  <c r="X53" i="206" s="1"/>
  <c r="Z53" i="206" s="1"/>
  <c r="AC53" i="206" s="1"/>
  <c r="AH53" i="206" s="1"/>
  <c r="X124" i="206"/>
  <c r="Z124" i="206" s="1"/>
  <c r="AC124" i="206" s="1"/>
  <c r="AH124" i="206" s="1"/>
  <c r="V52" i="206"/>
  <c r="X52" i="206" s="1"/>
  <c r="Z52" i="206" s="1"/>
  <c r="V104" i="206"/>
  <c r="X104" i="206" s="1"/>
  <c r="Z104" i="206" s="1"/>
  <c r="X18" i="205"/>
  <c r="Z18" i="205" s="1"/>
  <c r="AB83" i="205"/>
  <c r="V109" i="205"/>
  <c r="X109" i="205" s="1"/>
  <c r="Z109" i="205" s="1"/>
  <c r="Z32" i="205"/>
  <c r="AB32" i="205" s="1"/>
  <c r="V106" i="205"/>
  <c r="X106" i="205" s="1"/>
  <c r="Z106" i="205" s="1"/>
  <c r="V66" i="205"/>
  <c r="X66" i="205" s="1"/>
  <c r="Z66" i="205" s="1"/>
  <c r="V40" i="205"/>
  <c r="V63" i="205"/>
  <c r="X63" i="205" s="1"/>
  <c r="Z63" i="205" s="1"/>
  <c r="V27" i="205"/>
  <c r="X27" i="205" s="1"/>
  <c r="Z27" i="205" s="1"/>
  <c r="V47" i="205"/>
  <c r="V44" i="205"/>
  <c r="X44" i="205" s="1"/>
  <c r="Z44" i="205" s="1"/>
  <c r="AB44" i="205" s="1"/>
  <c r="V19" i="206"/>
  <c r="X19" i="206" s="1"/>
  <c r="Z19" i="206" s="1"/>
  <c r="V94" i="206"/>
  <c r="X94" i="206" s="1"/>
  <c r="Z94" i="206" s="1"/>
  <c r="AB94" i="206" s="1"/>
  <c r="V130" i="206"/>
  <c r="X130" i="206" s="1"/>
  <c r="Z130" i="206" s="1"/>
  <c r="V35" i="206"/>
  <c r="X35" i="206" s="1"/>
  <c r="Z35" i="206" s="1"/>
  <c r="V21" i="206"/>
  <c r="X21" i="206" s="1"/>
  <c r="Z21" i="206" s="1"/>
  <c r="V132" i="206"/>
  <c r="X132" i="206" s="1"/>
  <c r="Z132" i="206" s="1"/>
  <c r="V39" i="206"/>
  <c r="X39" i="206" s="1"/>
  <c r="Z39" i="206" s="1"/>
  <c r="V125" i="206"/>
  <c r="X125" i="206" s="1"/>
  <c r="Z125" i="206" s="1"/>
  <c r="X99" i="206"/>
  <c r="Z99" i="206" s="1"/>
  <c r="V83" i="206"/>
  <c r="X83" i="206" s="1"/>
  <c r="Z83" i="206" s="1"/>
  <c r="V108" i="206"/>
  <c r="X108" i="206" s="1"/>
  <c r="Z108" i="206" s="1"/>
  <c r="V112" i="206"/>
  <c r="X112" i="206" s="1"/>
  <c r="Z112" i="206" s="1"/>
  <c r="V54" i="206"/>
  <c r="X54" i="206" s="1"/>
  <c r="Z54" i="206" s="1"/>
  <c r="V126" i="206"/>
  <c r="X126" i="206" s="1"/>
  <c r="Z126" i="206" s="1"/>
  <c r="V51" i="206"/>
  <c r="X51" i="206" s="1"/>
  <c r="Z51" i="206" s="1"/>
  <c r="V34" i="206"/>
  <c r="X34" i="206" s="1"/>
  <c r="Z34" i="206" s="1"/>
  <c r="X97" i="206"/>
  <c r="Z97" i="206" s="1"/>
  <c r="V161" i="206"/>
  <c r="X161" i="206" s="1"/>
  <c r="Z161" i="206" s="1"/>
  <c r="V136" i="206"/>
  <c r="V101" i="206"/>
  <c r="X101" i="206" s="1"/>
  <c r="Z101" i="206" s="1"/>
  <c r="V105" i="206"/>
  <c r="X105" i="206" s="1"/>
  <c r="Z105" i="206" s="1"/>
  <c r="V87" i="206"/>
  <c r="X87" i="206" s="1"/>
  <c r="Z87" i="206" s="1"/>
  <c r="V67" i="206"/>
  <c r="X67" i="206" s="1"/>
  <c r="Z67" i="206" s="1"/>
  <c r="V50" i="206"/>
  <c r="X50" i="206" s="1"/>
  <c r="Z50" i="206" s="1"/>
  <c r="V18" i="206"/>
  <c r="X18" i="206" s="1"/>
  <c r="Z18" i="206" s="1"/>
  <c r="V115" i="206"/>
  <c r="X115" i="206" s="1"/>
  <c r="Z115" i="206" s="1"/>
  <c r="V71" i="206"/>
  <c r="X71" i="206" s="1"/>
  <c r="Z71" i="206" s="1"/>
  <c r="V64" i="206"/>
  <c r="X64" i="206" s="1"/>
  <c r="Z64" i="206" s="1"/>
  <c r="V55" i="206"/>
  <c r="X55" i="206" s="1"/>
  <c r="Z55" i="206" s="1"/>
  <c r="V88" i="206"/>
  <c r="X88" i="206" s="1"/>
  <c r="Z88" i="206" s="1"/>
  <c r="V86" i="206"/>
  <c r="X86" i="206" s="1"/>
  <c r="Z86" i="206" s="1"/>
  <c r="AC86" i="206" s="1"/>
  <c r="AH86" i="206" s="1"/>
  <c r="V152" i="206"/>
  <c r="T153" i="206"/>
  <c r="V131" i="206"/>
  <c r="X131" i="206" s="1"/>
  <c r="Z131" i="206" s="1"/>
  <c r="V118" i="206"/>
  <c r="X118" i="206" s="1"/>
  <c r="Z118" i="206" s="1"/>
  <c r="V91" i="206"/>
  <c r="X91" i="206" s="1"/>
  <c r="Z91" i="206" s="1"/>
  <c r="V44" i="206"/>
  <c r="X44" i="206" s="1"/>
  <c r="Z44" i="206" s="1"/>
  <c r="V33" i="206"/>
  <c r="X33" i="206" s="1"/>
  <c r="Z33" i="206" s="1"/>
  <c r="V43" i="206"/>
  <c r="X43" i="206" s="1"/>
  <c r="Z43" i="206" s="1"/>
  <c r="V138" i="206"/>
  <c r="X138" i="206" s="1"/>
  <c r="Z138" i="206" s="1"/>
  <c r="V133" i="206"/>
  <c r="X133" i="206" s="1"/>
  <c r="Z133" i="206" s="1"/>
  <c r="V116" i="206"/>
  <c r="X116" i="206" s="1"/>
  <c r="Z116" i="206" s="1"/>
  <c r="V76" i="206"/>
  <c r="X76" i="206" s="1"/>
  <c r="Z76" i="206" s="1"/>
  <c r="V96" i="206"/>
  <c r="X96" i="206" s="1"/>
  <c r="Z96" i="206" s="1"/>
  <c r="V28" i="206"/>
  <c r="X28" i="206" s="1"/>
  <c r="Z28" i="206" s="1"/>
  <c r="V117" i="206"/>
  <c r="X117" i="206" s="1"/>
  <c r="Z117" i="206" s="1"/>
  <c r="V103" i="206"/>
  <c r="X103" i="206" s="1"/>
  <c r="Z103" i="206" s="1"/>
  <c r="V107" i="206"/>
  <c r="X107" i="206" s="1"/>
  <c r="Z107" i="206" s="1"/>
  <c r="V89" i="206"/>
  <c r="X89" i="206" s="1"/>
  <c r="Z89" i="206" s="1"/>
  <c r="V15" i="205"/>
  <c r="X15" i="205" s="1"/>
  <c r="Z15" i="205" s="1"/>
  <c r="V19" i="205"/>
  <c r="X19" i="205" s="1"/>
  <c r="Z19" i="205" s="1"/>
  <c r="X53" i="211"/>
  <c r="V53" i="211"/>
  <c r="T53" i="211"/>
  <c r="R53" i="211"/>
  <c r="S53" i="211" s="1"/>
  <c r="X136" i="206" l="1"/>
  <c r="X40" i="205"/>
  <c r="X47" i="205"/>
  <c r="AC14" i="208"/>
  <c r="AH14" i="208" s="1"/>
  <c r="AI14" i="208" s="1"/>
  <c r="AB124" i="206"/>
  <c r="AH24" i="210"/>
  <c r="AB53" i="206"/>
  <c r="AI53" i="206" s="1"/>
  <c r="U53" i="211"/>
  <c r="W53" i="211" s="1"/>
  <c r="Y53" i="211" s="1"/>
  <c r="AB53" i="211" s="1"/>
  <c r="AG53" i="211" s="1"/>
  <c r="AI124" i="206"/>
  <c r="AC94" i="206"/>
  <c r="AB19" i="205"/>
  <c r="AC19" i="205"/>
  <c r="AH19" i="205" s="1"/>
  <c r="AB63" i="205"/>
  <c r="AC63" i="205"/>
  <c r="AH63" i="205" s="1"/>
  <c r="AB66" i="205"/>
  <c r="AC66" i="205"/>
  <c r="AB109" i="205"/>
  <c r="AC109" i="205"/>
  <c r="AI83" i="205"/>
  <c r="AB15" i="205"/>
  <c r="AC15" i="205"/>
  <c r="AH15" i="205" s="1"/>
  <c r="AB27" i="205"/>
  <c r="AC27" i="205"/>
  <c r="AH27" i="205" s="1"/>
  <c r="Z40" i="205"/>
  <c r="AB106" i="205"/>
  <c r="AC106" i="205"/>
  <c r="AH106" i="205" s="1"/>
  <c r="AB18" i="205"/>
  <c r="AC18" i="205"/>
  <c r="AH18" i="205" s="1"/>
  <c r="AC107" i="206"/>
  <c r="AH107" i="206" s="1"/>
  <c r="AB107" i="206"/>
  <c r="AB28" i="206"/>
  <c r="AC28" i="206"/>
  <c r="AH28" i="206" s="1"/>
  <c r="AC133" i="206"/>
  <c r="AH133" i="206" s="1"/>
  <c r="AB133" i="206"/>
  <c r="AC43" i="206"/>
  <c r="AH43" i="206" s="1"/>
  <c r="AB43" i="206"/>
  <c r="AC44" i="206"/>
  <c r="AH44" i="206" s="1"/>
  <c r="AB44" i="206"/>
  <c r="AC118" i="206"/>
  <c r="AH118" i="206" s="1"/>
  <c r="AB118" i="206"/>
  <c r="AC131" i="206"/>
  <c r="AH131" i="206" s="1"/>
  <c r="AB131" i="206"/>
  <c r="AB88" i="206"/>
  <c r="AC88" i="206"/>
  <c r="AH88" i="206" s="1"/>
  <c r="AB104" i="206"/>
  <c r="AC104" i="206"/>
  <c r="AH104" i="206" s="1"/>
  <c r="AC71" i="206"/>
  <c r="AH71" i="206" s="1"/>
  <c r="AB71" i="206"/>
  <c r="AC18" i="206"/>
  <c r="AH18" i="206" s="1"/>
  <c r="AB18" i="206"/>
  <c r="AC67" i="206"/>
  <c r="AH67" i="206" s="1"/>
  <c r="AB67" i="206"/>
  <c r="AC105" i="206"/>
  <c r="AH105" i="206" s="1"/>
  <c r="AB105" i="206"/>
  <c r="AB35" i="206"/>
  <c r="AC35" i="206"/>
  <c r="AH35" i="206" s="1"/>
  <c r="AC161" i="206"/>
  <c r="AB161" i="206"/>
  <c r="AC34" i="206"/>
  <c r="AH34" i="206" s="1"/>
  <c r="AB34" i="206"/>
  <c r="AC39" i="206"/>
  <c r="AB39" i="206"/>
  <c r="AB126" i="206"/>
  <c r="AC126" i="206"/>
  <c r="AH126" i="206" s="1"/>
  <c r="AB19" i="206"/>
  <c r="AC19" i="206"/>
  <c r="AH19" i="206" s="1"/>
  <c r="AC52" i="206"/>
  <c r="AH52" i="206" s="1"/>
  <c r="AB52" i="206"/>
  <c r="AB21" i="206"/>
  <c r="AC21" i="206"/>
  <c r="AH21" i="206" s="1"/>
  <c r="AB83" i="206"/>
  <c r="AC83" i="206"/>
  <c r="AH83" i="206" s="1"/>
  <c r="AC125" i="206"/>
  <c r="AH125" i="206" s="1"/>
  <c r="AB125" i="206"/>
  <c r="AC130" i="206"/>
  <c r="AB130" i="206"/>
  <c r="AC41" i="206"/>
  <c r="AH41" i="206" s="1"/>
  <c r="AB41" i="206"/>
  <c r="AC89" i="206"/>
  <c r="AH89" i="206" s="1"/>
  <c r="AB89" i="206"/>
  <c r="AC103" i="206"/>
  <c r="AH103" i="206" s="1"/>
  <c r="AB103" i="206"/>
  <c r="AC117" i="206"/>
  <c r="AH117" i="206" s="1"/>
  <c r="AB117" i="206"/>
  <c r="AB96" i="206"/>
  <c r="AC96" i="206"/>
  <c r="AH96" i="206" s="1"/>
  <c r="AC76" i="206"/>
  <c r="AH76" i="206" s="1"/>
  <c r="AB76" i="206"/>
  <c r="AC116" i="206"/>
  <c r="AH116" i="206" s="1"/>
  <c r="AB116" i="206"/>
  <c r="AC138" i="206"/>
  <c r="AH138" i="206" s="1"/>
  <c r="AB138" i="206"/>
  <c r="AB33" i="206"/>
  <c r="AC33" i="206"/>
  <c r="AH33" i="206" s="1"/>
  <c r="AC91" i="206"/>
  <c r="AH91" i="206" s="1"/>
  <c r="AB91" i="206"/>
  <c r="AB86" i="206"/>
  <c r="AI86" i="206" s="1"/>
  <c r="AC55" i="206"/>
  <c r="AH55" i="206" s="1"/>
  <c r="AB55" i="206"/>
  <c r="AC64" i="206"/>
  <c r="AH64" i="206" s="1"/>
  <c r="AB64" i="206"/>
  <c r="AC115" i="206"/>
  <c r="AH115" i="206" s="1"/>
  <c r="AB115" i="206"/>
  <c r="AC50" i="206"/>
  <c r="AB50" i="206"/>
  <c r="AC87" i="206"/>
  <c r="AB87" i="206"/>
  <c r="AB101" i="206"/>
  <c r="AC101" i="206"/>
  <c r="AH101" i="206" s="1"/>
  <c r="AC97" i="206"/>
  <c r="AH97" i="206" s="1"/>
  <c r="AB97" i="206"/>
  <c r="AC51" i="206"/>
  <c r="AH51" i="206" s="1"/>
  <c r="AB51" i="206"/>
  <c r="AC58" i="206"/>
  <c r="AH58" i="206" s="1"/>
  <c r="AB58" i="206"/>
  <c r="AC57" i="206"/>
  <c r="AH57" i="206" s="1"/>
  <c r="AB57" i="206"/>
  <c r="AC54" i="206"/>
  <c r="AH54" i="206" s="1"/>
  <c r="AB54" i="206"/>
  <c r="AB112" i="206"/>
  <c r="AC112" i="206"/>
  <c r="AH112" i="206" s="1"/>
  <c r="AB108" i="206"/>
  <c r="AC108" i="206"/>
  <c r="AH108" i="206" s="1"/>
  <c r="AC99" i="206"/>
  <c r="AH99" i="206" s="1"/>
  <c r="AB99" i="206"/>
  <c r="AC132" i="206"/>
  <c r="AH132" i="206" s="1"/>
  <c r="AB132" i="206"/>
  <c r="V153" i="206"/>
  <c r="X152" i="206"/>
  <c r="Z136" i="206" l="1"/>
  <c r="AF94" i="206"/>
  <c r="AH94" i="206" s="1"/>
  <c r="AI94" i="206" s="1"/>
  <c r="Z47" i="205"/>
  <c r="AI63" i="205"/>
  <c r="AI19" i="205"/>
  <c r="AI24" i="210"/>
  <c r="AA53" i="211"/>
  <c r="AI108" i="206"/>
  <c r="AI112" i="206"/>
  <c r="AI101" i="206"/>
  <c r="AI138" i="206"/>
  <c r="AI116" i="206"/>
  <c r="AI76" i="206"/>
  <c r="AI117" i="206"/>
  <c r="AI103" i="206"/>
  <c r="AI89" i="206"/>
  <c r="AI41" i="206"/>
  <c r="AI125" i="206"/>
  <c r="AI52" i="206"/>
  <c r="AI34" i="206"/>
  <c r="AI105" i="206"/>
  <c r="AI18" i="206"/>
  <c r="AI71" i="206"/>
  <c r="AI131" i="206"/>
  <c r="AI118" i="206"/>
  <c r="AI44" i="206"/>
  <c r="AI43" i="206"/>
  <c r="AI133" i="206"/>
  <c r="AH109" i="205"/>
  <c r="AH110" i="205" s="1"/>
  <c r="AC110" i="205"/>
  <c r="AH66" i="205"/>
  <c r="AI66" i="205" s="1"/>
  <c r="AB110" i="205"/>
  <c r="AB162" i="206"/>
  <c r="AI132" i="206"/>
  <c r="AI54" i="206"/>
  <c r="AI57" i="206"/>
  <c r="AI58" i="206"/>
  <c r="AI51" i="206"/>
  <c r="AI115" i="206"/>
  <c r="AI64" i="206"/>
  <c r="AI55" i="206"/>
  <c r="AI33" i="206"/>
  <c r="AI83" i="206"/>
  <c r="AI21" i="206"/>
  <c r="AI19" i="206"/>
  <c r="AI126" i="206"/>
  <c r="AC162" i="206"/>
  <c r="AH161" i="206"/>
  <c r="AH162" i="206" s="1"/>
  <c r="AI35" i="206"/>
  <c r="AI88" i="206"/>
  <c r="AI28" i="206"/>
  <c r="AH130" i="206"/>
  <c r="AI107" i="206"/>
  <c r="AI104" i="206"/>
  <c r="AI99" i="206"/>
  <c r="AI97" i="206"/>
  <c r="AI96" i="206"/>
  <c r="AI91" i="206"/>
  <c r="AH87" i="206"/>
  <c r="AI67" i="206"/>
  <c r="AH39" i="206"/>
  <c r="AH50" i="206"/>
  <c r="AI18" i="205"/>
  <c r="AI106" i="205"/>
  <c r="AB40" i="205"/>
  <c r="AI27" i="205"/>
  <c r="AI15" i="205"/>
  <c r="X153" i="206"/>
  <c r="Z152" i="206"/>
  <c r="AC136" i="206" l="1"/>
  <c r="AB136" i="206"/>
  <c r="AI109" i="205"/>
  <c r="AI110" i="205" s="1"/>
  <c r="AB47" i="205"/>
  <c r="AC47" i="205"/>
  <c r="AL110" i="205"/>
  <c r="AL162" i="206"/>
  <c r="AI161" i="206"/>
  <c r="AI162" i="206" s="1"/>
  <c r="AI130" i="206"/>
  <c r="AI87" i="206"/>
  <c r="AI39" i="206"/>
  <c r="AI50" i="206"/>
  <c r="AB152" i="206"/>
  <c r="Z153" i="206"/>
  <c r="AC152" i="206"/>
  <c r="AH136" i="206" l="1"/>
  <c r="AH47" i="205"/>
  <c r="AC153" i="206"/>
  <c r="AH152" i="206"/>
  <c r="AH153" i="206" s="1"/>
  <c r="AB153" i="206"/>
  <c r="AC44" i="205"/>
  <c r="AH44" i="205" s="1"/>
  <c r="AC40" i="205"/>
  <c r="O40" i="205"/>
  <c r="O41" i="205"/>
  <c r="O42" i="205"/>
  <c r="O43" i="205"/>
  <c r="O44" i="205"/>
  <c r="AC37" i="205"/>
  <c r="AH37" i="205" s="1"/>
  <c r="O37" i="205"/>
  <c r="AC32" i="205"/>
  <c r="AH32" i="205" s="1"/>
  <c r="AI32" i="205" s="1"/>
  <c r="AC25" i="208"/>
  <c r="AH25" i="208" s="1"/>
  <c r="AC26" i="208"/>
  <c r="AH26" i="208" s="1"/>
  <c r="AB25" i="208"/>
  <c r="AB26" i="208"/>
  <c r="O25" i="208"/>
  <c r="O26" i="208"/>
  <c r="AI152" i="206" l="1"/>
  <c r="AI153" i="206" s="1"/>
  <c r="AI44" i="205"/>
  <c r="AI136" i="206"/>
  <c r="AH40" i="205"/>
  <c r="O45" i="205"/>
  <c r="AI47" i="205"/>
  <c r="AI26" i="208"/>
  <c r="AI40" i="205"/>
  <c r="AI25" i="208"/>
  <c r="AI37" i="205"/>
  <c r="AC22" i="203"/>
  <c r="AH22" i="203" s="1"/>
  <c r="O22" i="203"/>
  <c r="AC21" i="203"/>
  <c r="AH21" i="203" s="1"/>
  <c r="O21" i="203"/>
  <c r="AI22" i="203" l="1"/>
  <c r="AI21" i="203"/>
  <c r="I92" i="206" l="1"/>
  <c r="J92" i="206"/>
  <c r="K92" i="206"/>
  <c r="L92" i="206"/>
  <c r="M92" i="206"/>
  <c r="N92" i="206"/>
  <c r="P92" i="206"/>
  <c r="AD92" i="206"/>
  <c r="AE92" i="206"/>
  <c r="AF92" i="206"/>
  <c r="T100" i="206"/>
  <c r="Q20" i="205"/>
  <c r="R20" i="205" s="1"/>
  <c r="Y20" i="205" s="1"/>
  <c r="Y100" i="206" l="1"/>
  <c r="W100" i="206"/>
  <c r="U100" i="206"/>
  <c r="V100" i="206" s="1"/>
  <c r="S20" i="205"/>
  <c r="T20" i="205" s="1"/>
  <c r="U20" i="205"/>
  <c r="W20" i="205"/>
  <c r="O155" i="206"/>
  <c r="O156" i="206" s="1"/>
  <c r="Q155" i="206"/>
  <c r="R155" i="206" s="1"/>
  <c r="S155" i="206" s="1"/>
  <c r="M156" i="206"/>
  <c r="K156" i="206"/>
  <c r="I156" i="206"/>
  <c r="H156" i="206"/>
  <c r="J156" i="206"/>
  <c r="L156" i="206"/>
  <c r="N156" i="206"/>
  <c r="P156" i="206"/>
  <c r="AD156" i="206"/>
  <c r="AE156" i="206"/>
  <c r="AF156" i="206"/>
  <c r="AG156" i="206"/>
  <c r="AF162" i="206"/>
  <c r="AE162" i="206"/>
  <c r="AD162" i="206"/>
  <c r="Z162" i="206"/>
  <c r="Y162" i="206"/>
  <c r="X162" i="206"/>
  <c r="W162" i="206"/>
  <c r="V162" i="206"/>
  <c r="U162" i="206"/>
  <c r="T162" i="206"/>
  <c r="S162" i="206"/>
  <c r="P162" i="206"/>
  <c r="N162" i="206"/>
  <c r="M162" i="206"/>
  <c r="L162" i="206"/>
  <c r="K162" i="206"/>
  <c r="J162" i="206"/>
  <c r="I162" i="206"/>
  <c r="AG110" i="205"/>
  <c r="AF110" i="205"/>
  <c r="AE110" i="205"/>
  <c r="AD110" i="205"/>
  <c r="W110" i="205"/>
  <c r="V110" i="205"/>
  <c r="U110" i="205"/>
  <c r="T110" i="205"/>
  <c r="S110" i="205"/>
  <c r="R110" i="205"/>
  <c r="Q110" i="205"/>
  <c r="P110" i="205"/>
  <c r="N110" i="205"/>
  <c r="M110" i="205"/>
  <c r="L110" i="205"/>
  <c r="K110" i="205"/>
  <c r="J110" i="205"/>
  <c r="I110" i="205"/>
  <c r="V20" i="205" l="1"/>
  <c r="X20" i="205" s="1"/>
  <c r="X100" i="206"/>
  <c r="Z100" i="206" s="1"/>
  <c r="T155" i="206"/>
  <c r="Y155" i="206"/>
  <c r="Y156" i="206" s="1"/>
  <c r="W155" i="206"/>
  <c r="W156" i="206" s="1"/>
  <c r="U155" i="206"/>
  <c r="U156" i="206" s="1"/>
  <c r="R156" i="206"/>
  <c r="Q156" i="206"/>
  <c r="U106" i="206"/>
  <c r="W106" i="206"/>
  <c r="Z20" i="205" l="1"/>
  <c r="AC20" i="205" s="1"/>
  <c r="AH20" i="205" s="1"/>
  <c r="S156" i="206"/>
  <c r="AB100" i="206"/>
  <c r="AC100" i="206"/>
  <c r="AH100" i="206" s="1"/>
  <c r="V155" i="206"/>
  <c r="X155" i="206" s="1"/>
  <c r="Z155" i="206" s="1"/>
  <c r="AC155" i="206" s="1"/>
  <c r="AH155" i="206" s="1"/>
  <c r="AH156" i="206" s="1"/>
  <c r="V106" i="206"/>
  <c r="AI100" i="206" l="1"/>
  <c r="AB20" i="205"/>
  <c r="X106" i="206"/>
  <c r="Z106" i="206" s="1"/>
  <c r="AB155" i="206"/>
  <c r="AI155" i="206" s="1"/>
  <c r="AI156" i="206" s="1"/>
  <c r="T156" i="206"/>
  <c r="H95" i="205"/>
  <c r="AI20" i="205" l="1"/>
  <c r="AC106" i="206"/>
  <c r="AH106" i="206" s="1"/>
  <c r="AB106" i="206"/>
  <c r="V156" i="206"/>
  <c r="H42" i="207"/>
  <c r="Q24" i="208"/>
  <c r="R24" i="208" s="1"/>
  <c r="O24" i="208"/>
  <c r="Q23" i="208"/>
  <c r="R23" i="208" s="1"/>
  <c r="Y23" i="208" s="1"/>
  <c r="O23" i="208"/>
  <c r="AI106" i="206" l="1"/>
  <c r="X156" i="206"/>
  <c r="Y24" i="208"/>
  <c r="W24" i="208"/>
  <c r="U24" i="208"/>
  <c r="S24" i="208"/>
  <c r="T24" i="208" s="1"/>
  <c r="S23" i="208"/>
  <c r="T23" i="208" s="1"/>
  <c r="U23" i="208"/>
  <c r="W23" i="208"/>
  <c r="V24" i="208" l="1"/>
  <c r="X24" i="208" s="1"/>
  <c r="Z24" i="208" s="1"/>
  <c r="AB24" i="208" s="1"/>
  <c r="Z156" i="206"/>
  <c r="V23" i="208"/>
  <c r="X23" i="208" s="1"/>
  <c r="Z23" i="208" s="1"/>
  <c r="AC23" i="208" s="1"/>
  <c r="W16" i="206"/>
  <c r="U16" i="206"/>
  <c r="AH23" i="208" l="1"/>
  <c r="AC24" i="208"/>
  <c r="AH24" i="208" s="1"/>
  <c r="AI24" i="208" s="1"/>
  <c r="AC156" i="206"/>
  <c r="AB156" i="206"/>
  <c r="AL156" i="206" s="1"/>
  <c r="V16" i="206"/>
  <c r="X16" i="206" s="1"/>
  <c r="AI23" i="208" l="1"/>
  <c r="Z16" i="206"/>
  <c r="AC16" i="206" l="1"/>
  <c r="AH16" i="206" s="1"/>
  <c r="AB16" i="206"/>
  <c r="AI16" i="206" l="1"/>
  <c r="I42" i="207"/>
  <c r="J42" i="207"/>
  <c r="K42" i="207"/>
  <c r="L42" i="207"/>
  <c r="M42" i="207"/>
  <c r="N42" i="207"/>
  <c r="P42" i="207"/>
  <c r="AA42" i="207"/>
  <c r="AD42" i="207"/>
  <c r="AE42" i="207"/>
  <c r="AF42" i="207"/>
  <c r="AG42" i="207"/>
  <c r="H159" i="206" l="1"/>
  <c r="H150" i="206"/>
  <c r="H153" i="206" s="1"/>
  <c r="Q34" i="207"/>
  <c r="R34" i="207" s="1"/>
  <c r="U34" i="207" s="1"/>
  <c r="O34" i="207"/>
  <c r="Q35" i="207"/>
  <c r="R35" i="207" s="1"/>
  <c r="U35" i="207" s="1"/>
  <c r="O35" i="207"/>
  <c r="H30" i="206"/>
  <c r="H25" i="206"/>
  <c r="AG25" i="206"/>
  <c r="AF25" i="206"/>
  <c r="AE25" i="206"/>
  <c r="AD25" i="206"/>
  <c r="AA25" i="206"/>
  <c r="P25" i="206"/>
  <c r="N25" i="206"/>
  <c r="M25" i="206"/>
  <c r="L25" i="206"/>
  <c r="K25" i="206"/>
  <c r="J25" i="206"/>
  <c r="I25" i="206"/>
  <c r="Q24" i="206"/>
  <c r="Q25" i="206" s="1"/>
  <c r="O24" i="206"/>
  <c r="H167" i="206" l="1"/>
  <c r="O25" i="206"/>
  <c r="Y34" i="207"/>
  <c r="AB34" i="207" s="1"/>
  <c r="W34" i="207"/>
  <c r="S34" i="207"/>
  <c r="T34" i="207" s="1"/>
  <c r="Y35" i="207"/>
  <c r="AB35" i="207" s="1"/>
  <c r="W35" i="207"/>
  <c r="S35" i="207"/>
  <c r="T35" i="207" s="1"/>
  <c r="R24" i="206"/>
  <c r="O90" i="206"/>
  <c r="O92" i="206" s="1"/>
  <c r="V35" i="207" l="1"/>
  <c r="X35" i="207" s="1"/>
  <c r="Z35" i="207" s="1"/>
  <c r="AC35" i="207" s="1"/>
  <c r="AH35" i="207" s="1"/>
  <c r="AI35" i="207" s="1"/>
  <c r="V34" i="207"/>
  <c r="X34" i="207" s="1"/>
  <c r="Z34" i="207" s="1"/>
  <c r="AC34" i="207" s="1"/>
  <c r="AH34" i="207" s="1"/>
  <c r="AI34" i="207" s="1"/>
  <c r="R25" i="206"/>
  <c r="Y24" i="206"/>
  <c r="Y25" i="206" s="1"/>
  <c r="W24" i="206"/>
  <c r="W25" i="206" s="1"/>
  <c r="U24" i="206"/>
  <c r="U25" i="206" s="1"/>
  <c r="S24" i="206"/>
  <c r="S25" i="206" s="1"/>
  <c r="W90" i="206"/>
  <c r="U90" i="206"/>
  <c r="S90" i="206"/>
  <c r="T90" i="206" s="1"/>
  <c r="V90" i="206" l="1"/>
  <c r="X90" i="206" s="1"/>
  <c r="Z90" i="206" s="1"/>
  <c r="AC90" i="206" s="1"/>
  <c r="T24" i="206"/>
  <c r="Q33" i="207"/>
  <c r="R33" i="207" s="1"/>
  <c r="O33" i="207"/>
  <c r="O32" i="207"/>
  <c r="Q32" i="207"/>
  <c r="R32" i="207" s="1"/>
  <c r="B8" i="208"/>
  <c r="B7" i="207"/>
  <c r="AH90" i="206" l="1"/>
  <c r="AH92" i="206" s="1"/>
  <c r="AC92" i="206"/>
  <c r="AB90" i="206"/>
  <c r="V24" i="206"/>
  <c r="T25" i="206"/>
  <c r="Y33" i="207"/>
  <c r="AB33" i="207" s="1"/>
  <c r="W33" i="207"/>
  <c r="U33" i="207"/>
  <c r="S33" i="207"/>
  <c r="T33" i="207" s="1"/>
  <c r="Y32" i="207"/>
  <c r="AB32" i="207" s="1"/>
  <c r="W32" i="207"/>
  <c r="U32" i="207"/>
  <c r="S32" i="207"/>
  <c r="T32" i="207" s="1"/>
  <c r="Q31" i="207"/>
  <c r="R31" i="207" s="1"/>
  <c r="O31" i="207"/>
  <c r="Q30" i="207"/>
  <c r="R30" i="207" s="1"/>
  <c r="O30" i="207"/>
  <c r="Q29" i="207"/>
  <c r="R29" i="207" s="1"/>
  <c r="O29" i="207"/>
  <c r="I72" i="205"/>
  <c r="J72" i="205"/>
  <c r="K72" i="205"/>
  <c r="L72" i="205"/>
  <c r="M72" i="205"/>
  <c r="N72" i="205"/>
  <c r="P72" i="205"/>
  <c r="AD72" i="205"/>
  <c r="AE72" i="205"/>
  <c r="AF72" i="205"/>
  <c r="AG72" i="205"/>
  <c r="AI90" i="206" l="1"/>
  <c r="AI92" i="206" s="1"/>
  <c r="AB92" i="206"/>
  <c r="AL92" i="206" s="1"/>
  <c r="V33" i="207"/>
  <c r="X33" i="207" s="1"/>
  <c r="Z33" i="207" s="1"/>
  <c r="AC33" i="207" s="1"/>
  <c r="AH33" i="207" s="1"/>
  <c r="AI33" i="207" s="1"/>
  <c r="X24" i="206"/>
  <c r="V25" i="206"/>
  <c r="V32" i="207"/>
  <c r="X32" i="207" s="1"/>
  <c r="Z32" i="207" s="1"/>
  <c r="AC32" i="207" s="1"/>
  <c r="AH32" i="207" s="1"/>
  <c r="AI32" i="207" s="1"/>
  <c r="Y31" i="207"/>
  <c r="AB31" i="207" s="1"/>
  <c r="W31" i="207"/>
  <c r="U31" i="207"/>
  <c r="S31" i="207"/>
  <c r="T31" i="207" s="1"/>
  <c r="Y30" i="207"/>
  <c r="AB30" i="207" s="1"/>
  <c r="W30" i="207"/>
  <c r="U30" i="207"/>
  <c r="S30" i="207"/>
  <c r="T30" i="207" s="1"/>
  <c r="Y29" i="207"/>
  <c r="AB29" i="207" s="1"/>
  <c r="W29" i="207"/>
  <c r="U29" i="207"/>
  <c r="S29" i="207"/>
  <c r="T29" i="207" s="1"/>
  <c r="Z24" i="206" l="1"/>
  <c r="X25" i="206"/>
  <c r="V31" i="207"/>
  <c r="X31" i="207" s="1"/>
  <c r="Z31" i="207" s="1"/>
  <c r="AC31" i="207" s="1"/>
  <c r="AH31" i="207" s="1"/>
  <c r="AI31" i="207" s="1"/>
  <c r="V30" i="207"/>
  <c r="X30" i="207" s="1"/>
  <c r="Z30" i="207" s="1"/>
  <c r="AC30" i="207" s="1"/>
  <c r="AH30" i="207" s="1"/>
  <c r="AI30" i="207" s="1"/>
  <c r="V29" i="207"/>
  <c r="X29" i="207" s="1"/>
  <c r="Z29" i="207" s="1"/>
  <c r="AC29" i="207" s="1"/>
  <c r="AH29" i="207" s="1"/>
  <c r="AI29" i="207" s="1"/>
  <c r="AC24" i="206" l="1"/>
  <c r="Z25" i="206"/>
  <c r="AB24" i="206"/>
  <c r="O17" i="208"/>
  <c r="Q26" i="205"/>
  <c r="O26" i="205"/>
  <c r="O28" i="205" s="1"/>
  <c r="Q55" i="205"/>
  <c r="O55" i="205"/>
  <c r="Q28" i="207"/>
  <c r="R28" i="207" s="1"/>
  <c r="Y28" i="207" s="1"/>
  <c r="AB28" i="207" s="1"/>
  <c r="O28" i="207"/>
  <c r="R55" i="205" l="1"/>
  <c r="W55" i="205" s="1"/>
  <c r="R26" i="205"/>
  <c r="U26" i="205" s="1"/>
  <c r="U28" i="205" s="1"/>
  <c r="Q28" i="205"/>
  <c r="AB25" i="206"/>
  <c r="AC25" i="206"/>
  <c r="AH24" i="206"/>
  <c r="AH25" i="206" s="1"/>
  <c r="S28" i="207"/>
  <c r="T28" i="207" s="1"/>
  <c r="U28" i="207"/>
  <c r="W28" i="207"/>
  <c r="I150" i="206"/>
  <c r="I153" i="206" s="1"/>
  <c r="J150" i="206"/>
  <c r="J153" i="206" s="1"/>
  <c r="K150" i="206"/>
  <c r="K153" i="206" s="1"/>
  <c r="L150" i="206"/>
  <c r="L153" i="206" s="1"/>
  <c r="M150" i="206"/>
  <c r="M153" i="206" s="1"/>
  <c r="N150" i="206"/>
  <c r="N153" i="206" s="1"/>
  <c r="P150" i="206"/>
  <c r="P153" i="206" s="1"/>
  <c r="AA150" i="206"/>
  <c r="AD150" i="206"/>
  <c r="AD153" i="206" s="1"/>
  <c r="AE150" i="206"/>
  <c r="AE153" i="206" s="1"/>
  <c r="AF150" i="206"/>
  <c r="AF153" i="206" s="1"/>
  <c r="AG150" i="206"/>
  <c r="AG153" i="206" s="1"/>
  <c r="L134" i="206"/>
  <c r="M134" i="206"/>
  <c r="N134" i="206"/>
  <c r="P134" i="206"/>
  <c r="AD134" i="206"/>
  <c r="AE134" i="206"/>
  <c r="AF134" i="206"/>
  <c r="I127" i="206"/>
  <c r="J127" i="206"/>
  <c r="K127" i="206"/>
  <c r="L127" i="206"/>
  <c r="M127" i="206"/>
  <c r="N127" i="206"/>
  <c r="P127" i="206"/>
  <c r="AD127" i="206"/>
  <c r="AE127" i="206"/>
  <c r="AF127" i="206"/>
  <c r="I109" i="206"/>
  <c r="J109" i="206"/>
  <c r="K109" i="206"/>
  <c r="L109" i="206"/>
  <c r="M109" i="206"/>
  <c r="N109" i="206"/>
  <c r="P109" i="206"/>
  <c r="AD109" i="206"/>
  <c r="AE109" i="206"/>
  <c r="AF109" i="206"/>
  <c r="I84" i="206"/>
  <c r="J84" i="206"/>
  <c r="K84" i="206"/>
  <c r="L84" i="206"/>
  <c r="M84" i="206"/>
  <c r="N84" i="206"/>
  <c r="P84" i="206"/>
  <c r="AA84" i="206"/>
  <c r="AD84" i="206"/>
  <c r="AE84" i="206"/>
  <c r="AF84" i="206"/>
  <c r="I80" i="206"/>
  <c r="J80" i="206"/>
  <c r="K80" i="206"/>
  <c r="L80" i="206"/>
  <c r="M80" i="206"/>
  <c r="N80" i="206"/>
  <c r="P80" i="206"/>
  <c r="AD80" i="206"/>
  <c r="AE80" i="206"/>
  <c r="AF80" i="206"/>
  <c r="I69" i="206"/>
  <c r="J69" i="206"/>
  <c r="K69" i="206"/>
  <c r="L69" i="206"/>
  <c r="M69" i="206"/>
  <c r="N69" i="206"/>
  <c r="P69" i="206"/>
  <c r="AD69" i="206"/>
  <c r="AE69" i="206"/>
  <c r="AF69" i="206"/>
  <c r="I62" i="206"/>
  <c r="J62" i="206"/>
  <c r="K62" i="206"/>
  <c r="L62" i="206"/>
  <c r="M62" i="206"/>
  <c r="N62" i="206"/>
  <c r="P62" i="206"/>
  <c r="AD62" i="206"/>
  <c r="AE62" i="206"/>
  <c r="AF62" i="206"/>
  <c r="I46" i="206"/>
  <c r="J46" i="206"/>
  <c r="K46" i="206"/>
  <c r="L46" i="206"/>
  <c r="M46" i="206"/>
  <c r="N46" i="206"/>
  <c r="I30" i="206"/>
  <c r="J30" i="206"/>
  <c r="K30" i="206"/>
  <c r="L30" i="206"/>
  <c r="M30" i="206"/>
  <c r="N30" i="206"/>
  <c r="P30" i="206"/>
  <c r="AA30" i="206"/>
  <c r="AD30" i="206"/>
  <c r="AE30" i="206"/>
  <c r="AF30" i="206"/>
  <c r="AG30" i="206"/>
  <c r="I22" i="206"/>
  <c r="J22" i="206"/>
  <c r="K22" i="206"/>
  <c r="L22" i="206"/>
  <c r="M22" i="206"/>
  <c r="N22" i="206"/>
  <c r="P22" i="206"/>
  <c r="AA22" i="206"/>
  <c r="AD22" i="206"/>
  <c r="AE22" i="206"/>
  <c r="AF22" i="206"/>
  <c r="Q14" i="205"/>
  <c r="O14" i="205"/>
  <c r="O21" i="205" s="1"/>
  <c r="Q23" i="210"/>
  <c r="R23" i="210" s="1"/>
  <c r="O23" i="210"/>
  <c r="AA167" i="206" l="1"/>
  <c r="S26" i="205"/>
  <c r="T26" i="205" s="1"/>
  <c r="U55" i="205"/>
  <c r="W26" i="205"/>
  <c r="W28" i="205" s="1"/>
  <c r="S55" i="205"/>
  <c r="T55" i="205" s="1"/>
  <c r="Y26" i="205"/>
  <c r="Y28" i="205" s="1"/>
  <c r="R28" i="205"/>
  <c r="Y55" i="205"/>
  <c r="AL25" i="206"/>
  <c r="AI24" i="206"/>
  <c r="R14" i="205"/>
  <c r="AI25" i="206"/>
  <c r="V28" i="207"/>
  <c r="X28" i="207" s="1"/>
  <c r="Z28" i="207" s="1"/>
  <c r="AC28" i="207" s="1"/>
  <c r="AH28" i="207" s="1"/>
  <c r="AI28" i="207" s="1"/>
  <c r="Y23" i="210"/>
  <c r="W23" i="210"/>
  <c r="U23" i="210"/>
  <c r="S23" i="210"/>
  <c r="T23" i="210" s="1"/>
  <c r="V23" i="210" s="1"/>
  <c r="X23" i="210" s="1"/>
  <c r="Z23" i="210" s="1"/>
  <c r="S28" i="205" l="1"/>
  <c r="T28" i="205"/>
  <c r="V26" i="205"/>
  <c r="V28" i="205" s="1"/>
  <c r="V55" i="205"/>
  <c r="Y14" i="205"/>
  <c r="S14" i="205"/>
  <c r="T14" i="205" s="1"/>
  <c r="W14" i="205"/>
  <c r="U14" i="205"/>
  <c r="AC23" i="210"/>
  <c r="AH23" i="210" s="1"/>
  <c r="AB23" i="210"/>
  <c r="AI23" i="210" s="1"/>
  <c r="X26" i="205" l="1"/>
  <c r="Z26" i="205" s="1"/>
  <c r="X28" i="205"/>
  <c r="X55" i="205"/>
  <c r="V14" i="205"/>
  <c r="Q27" i="207"/>
  <c r="R27" i="207" s="1"/>
  <c r="O27" i="207"/>
  <c r="AB26" i="205" l="1"/>
  <c r="AB28" i="205" s="1"/>
  <c r="Z28" i="205"/>
  <c r="AC26" i="205"/>
  <c r="X14" i="205"/>
  <c r="Z55" i="205"/>
  <c r="Y27" i="207"/>
  <c r="AB27" i="207" s="1"/>
  <c r="W27" i="207"/>
  <c r="U27" i="207"/>
  <c r="S27" i="207"/>
  <c r="T27" i="207" s="1"/>
  <c r="AB55" i="205" l="1"/>
  <c r="AC28" i="205"/>
  <c r="AH26" i="205"/>
  <c r="AH28" i="205" s="1"/>
  <c r="AL28" i="205" s="1"/>
  <c r="AC55" i="205"/>
  <c r="AH55" i="205" s="1"/>
  <c r="Z14" i="205"/>
  <c r="AC14" i="205" s="1"/>
  <c r="V27" i="207"/>
  <c r="X27" i="207" s="1"/>
  <c r="Z27" i="207" s="1"/>
  <c r="AC27" i="207" s="1"/>
  <c r="AH27" i="207" s="1"/>
  <c r="AI27" i="207" s="1"/>
  <c r="AI26" i="205" l="1"/>
  <c r="AI28" i="205" s="1"/>
  <c r="AI55" i="205"/>
  <c r="AB14" i="205"/>
  <c r="AH14" i="205"/>
  <c r="O24" i="207"/>
  <c r="AI14" i="205" l="1"/>
  <c r="R61" i="206"/>
  <c r="Y61" i="206" l="1"/>
  <c r="W61" i="206"/>
  <c r="U61" i="206"/>
  <c r="S61" i="206"/>
  <c r="T61" i="206" l="1"/>
  <c r="AG107" i="205"/>
  <c r="AF107" i="205"/>
  <c r="AE107" i="205"/>
  <c r="AD107" i="205"/>
  <c r="P107" i="205"/>
  <c r="N107" i="205"/>
  <c r="M107" i="205"/>
  <c r="L107" i="205"/>
  <c r="K107" i="205"/>
  <c r="J107" i="205"/>
  <c r="I107" i="205"/>
  <c r="Q105" i="205"/>
  <c r="Q107" i="205" s="1"/>
  <c r="V61" i="206" l="1"/>
  <c r="R105" i="205"/>
  <c r="S105" i="205" l="1"/>
  <c r="S107" i="205" s="1"/>
  <c r="Y105" i="205"/>
  <c r="Y107" i="205" s="1"/>
  <c r="X61" i="206"/>
  <c r="Z61" i="206" s="1"/>
  <c r="R107" i="205"/>
  <c r="W105" i="205"/>
  <c r="W107" i="205" s="1"/>
  <c r="U105" i="205"/>
  <c r="U107" i="205" s="1"/>
  <c r="T105" i="205" l="1"/>
  <c r="AC61" i="206" l="1"/>
  <c r="AB61" i="206"/>
  <c r="V105" i="205"/>
  <c r="X105" i="205" s="1"/>
  <c r="T107" i="205"/>
  <c r="Q45" i="206"/>
  <c r="R45" i="206" s="1"/>
  <c r="U45" i="206" s="1"/>
  <c r="O45" i="206"/>
  <c r="Z105" i="205" l="1"/>
  <c r="X107" i="205"/>
  <c r="AH61" i="206"/>
  <c r="AI61" i="206" s="1"/>
  <c r="V107" i="205"/>
  <c r="Y45" i="206"/>
  <c r="W45" i="206"/>
  <c r="S45" i="206"/>
  <c r="T45" i="206" s="1"/>
  <c r="H91" i="205"/>
  <c r="H88" i="205"/>
  <c r="H24" i="205"/>
  <c r="Z107" i="205" l="1"/>
  <c r="AB105" i="205"/>
  <c r="AB107" i="205" s="1"/>
  <c r="V45" i="206"/>
  <c r="X45" i="206" s="1"/>
  <c r="V20" i="206"/>
  <c r="X20" i="206" s="1"/>
  <c r="Z20" i="206" s="1"/>
  <c r="AC20" i="206" l="1"/>
  <c r="AH20" i="206" s="1"/>
  <c r="AB20" i="206"/>
  <c r="Z45" i="206"/>
  <c r="AC45" i="206" s="1"/>
  <c r="AH45" i="206" s="1"/>
  <c r="AC105" i="205"/>
  <c r="AH105" i="205" l="1"/>
  <c r="AH107" i="205" s="1"/>
  <c r="AC107" i="205"/>
  <c r="AI20" i="206"/>
  <c r="AB45" i="206"/>
  <c r="AI45" i="206" s="1"/>
  <c r="I88" i="205"/>
  <c r="J88" i="205"/>
  <c r="K88" i="205"/>
  <c r="L88" i="205"/>
  <c r="M88" i="205"/>
  <c r="N88" i="205"/>
  <c r="P88" i="205"/>
  <c r="AD88" i="205"/>
  <c r="AE88" i="205"/>
  <c r="AF88" i="205"/>
  <c r="AG88" i="205"/>
  <c r="Q86" i="205"/>
  <c r="R86" i="205" s="1"/>
  <c r="Y86" i="205" s="1"/>
  <c r="O86" i="205"/>
  <c r="AL107" i="205" l="1"/>
  <c r="AI105" i="205"/>
  <c r="AI107" i="205" s="1"/>
  <c r="W86" i="205"/>
  <c r="U86" i="205"/>
  <c r="S86" i="205"/>
  <c r="T86" i="205" l="1"/>
  <c r="V86" i="205" s="1"/>
  <c r="X86" i="205" s="1"/>
  <c r="Z86" i="205" l="1"/>
  <c r="Q68" i="206"/>
  <c r="R68" i="206" s="1"/>
  <c r="AB86" i="205" l="1"/>
  <c r="AC86" i="205"/>
  <c r="Y68" i="206"/>
  <c r="W68" i="206"/>
  <c r="U68" i="206"/>
  <c r="S68" i="206"/>
  <c r="T68" i="206" s="1"/>
  <c r="V68" i="206" l="1"/>
  <c r="X68" i="206" s="1"/>
  <c r="AH86" i="205"/>
  <c r="AI86" i="205" s="1"/>
  <c r="Z68" i="206" l="1"/>
  <c r="AC68" i="206" s="1"/>
  <c r="AH68" i="206" s="1"/>
  <c r="AB68" i="206" l="1"/>
  <c r="AI68" i="206" s="1"/>
  <c r="I95" i="205"/>
  <c r="J95" i="205"/>
  <c r="K95" i="205"/>
  <c r="L95" i="205"/>
  <c r="M95" i="205"/>
  <c r="N95" i="205"/>
  <c r="AD95" i="205"/>
  <c r="AE95" i="205"/>
  <c r="AF95" i="205"/>
  <c r="AG95" i="205"/>
  <c r="Q94" i="205"/>
  <c r="R94" i="205" s="1"/>
  <c r="Y94" i="205" s="1"/>
  <c r="O94" i="205"/>
  <c r="W94" i="205" l="1"/>
  <c r="U94" i="205"/>
  <c r="S94" i="205"/>
  <c r="T94" i="205" l="1"/>
  <c r="Q26" i="207"/>
  <c r="R26" i="207" s="1"/>
  <c r="O26" i="207"/>
  <c r="V94" i="205" l="1"/>
  <c r="X94" i="205" s="1"/>
  <c r="Z94" i="205" s="1"/>
  <c r="AB94" i="205" s="1"/>
  <c r="Y26" i="207"/>
  <c r="AB26" i="207" s="1"/>
  <c r="W26" i="207"/>
  <c r="U26" i="207"/>
  <c r="S26" i="207"/>
  <c r="T26" i="207" s="1"/>
  <c r="Q25" i="207"/>
  <c r="R25" i="207" s="1"/>
  <c r="O25" i="207"/>
  <c r="Q24" i="207"/>
  <c r="R24" i="207" s="1"/>
  <c r="V26" i="207" l="1"/>
  <c r="X26" i="207" s="1"/>
  <c r="Y25" i="207"/>
  <c r="AB25" i="207" s="1"/>
  <c r="W25" i="207"/>
  <c r="U25" i="207"/>
  <c r="S25" i="207"/>
  <c r="T25" i="207" s="1"/>
  <c r="Y24" i="207"/>
  <c r="AB24" i="207" s="1"/>
  <c r="W24" i="207"/>
  <c r="U24" i="207"/>
  <c r="S24" i="207"/>
  <c r="T24" i="207" s="1"/>
  <c r="Z26" i="207" l="1"/>
  <c r="AC26" i="207" s="1"/>
  <c r="AH26" i="207" s="1"/>
  <c r="AI26" i="207" s="1"/>
  <c r="V24" i="207"/>
  <c r="X24" i="207" s="1"/>
  <c r="V25" i="207"/>
  <c r="X25" i="207" s="1"/>
  <c r="Z25" i="207" l="1"/>
  <c r="AC25" i="207" s="1"/>
  <c r="AH25" i="207" s="1"/>
  <c r="AI25" i="207" s="1"/>
  <c r="Z24" i="207"/>
  <c r="AC24" i="207" s="1"/>
  <c r="AH24" i="207" s="1"/>
  <c r="AI24" i="207" s="1"/>
  <c r="AC94" i="205"/>
  <c r="Q23" i="207"/>
  <c r="R23" i="207" s="1"/>
  <c r="O23" i="207"/>
  <c r="AH94" i="205" l="1"/>
  <c r="AI94" i="205" s="1"/>
  <c r="Y23" i="207"/>
  <c r="S23" i="207"/>
  <c r="U23" i="207"/>
  <c r="W23" i="207"/>
  <c r="I159" i="206"/>
  <c r="I167" i="206" s="1"/>
  <c r="J159" i="206"/>
  <c r="J167" i="206" s="1"/>
  <c r="K159" i="206"/>
  <c r="K167" i="206" s="1"/>
  <c r="L159" i="206"/>
  <c r="L167" i="206" s="1"/>
  <c r="M159" i="206"/>
  <c r="M167" i="206" s="1"/>
  <c r="N159" i="206"/>
  <c r="N167" i="206" s="1"/>
  <c r="P159" i="206"/>
  <c r="P167" i="206" s="1"/>
  <c r="AD159" i="206"/>
  <c r="AD167" i="206" s="1"/>
  <c r="AE159" i="206"/>
  <c r="AE167" i="206" s="1"/>
  <c r="AF159" i="206"/>
  <c r="AF167" i="206" s="1"/>
  <c r="AG159" i="206"/>
  <c r="AG167" i="206" s="1"/>
  <c r="T23" i="207" l="1"/>
  <c r="Q158" i="206"/>
  <c r="O158" i="206"/>
  <c r="V23" i="207" l="1"/>
  <c r="R158" i="206"/>
  <c r="W158" i="206" l="1"/>
  <c r="S158" i="206"/>
  <c r="Y158" i="206"/>
  <c r="X23" i="207"/>
  <c r="Z23" i="207" s="1"/>
  <c r="U158" i="206"/>
  <c r="U159" i="206" s="1"/>
  <c r="T158" i="206"/>
  <c r="V158" i="206" l="1"/>
  <c r="X158" i="206" s="1"/>
  <c r="Z158" i="206" s="1"/>
  <c r="AC23" i="207" l="1"/>
  <c r="J20" i="203"/>
  <c r="O20" i="203" s="1"/>
  <c r="Q20" i="203"/>
  <c r="O149" i="206"/>
  <c r="O22" i="208"/>
  <c r="Q22" i="208"/>
  <c r="R22" i="208" s="1"/>
  <c r="O22" i="207"/>
  <c r="Q22" i="207"/>
  <c r="R22" i="207" s="1"/>
  <c r="R59" i="206"/>
  <c r="O95" i="206"/>
  <c r="O109" i="206" s="1"/>
  <c r="O123" i="206"/>
  <c r="Q123" i="206"/>
  <c r="R123" i="206" s="1"/>
  <c r="O143" i="206"/>
  <c r="Q143" i="206"/>
  <c r="R143" i="206" s="1"/>
  <c r="O145" i="206"/>
  <c r="Q145" i="206"/>
  <c r="O146" i="206"/>
  <c r="Q146" i="206"/>
  <c r="R146" i="206" s="1"/>
  <c r="O147" i="206"/>
  <c r="Q147" i="206"/>
  <c r="R147" i="206" s="1"/>
  <c r="O159" i="206"/>
  <c r="Q159" i="206"/>
  <c r="R60" i="206"/>
  <c r="O148" i="206"/>
  <c r="Q148" i="206"/>
  <c r="R148" i="206" s="1"/>
  <c r="Q149" i="206"/>
  <c r="R149" i="206" s="1"/>
  <c r="Q66" i="206"/>
  <c r="R66" i="206" s="1"/>
  <c r="O142" i="206"/>
  <c r="O144" i="206"/>
  <c r="Q142" i="206"/>
  <c r="Q144" i="206"/>
  <c r="R144" i="206" s="1"/>
  <c r="Q139" i="206"/>
  <c r="Q129" i="206"/>
  <c r="R129" i="206" s="1"/>
  <c r="O111" i="206"/>
  <c r="O113" i="206"/>
  <c r="O114" i="206"/>
  <c r="O119" i="206"/>
  <c r="O120" i="206"/>
  <c r="O121" i="206"/>
  <c r="Q111" i="206"/>
  <c r="Q113" i="206"/>
  <c r="R113" i="206" s="1"/>
  <c r="Q114" i="206"/>
  <c r="R114" i="206" s="1"/>
  <c r="Q119" i="206"/>
  <c r="R119" i="206" s="1"/>
  <c r="Q120" i="206"/>
  <c r="R120" i="206" s="1"/>
  <c r="Q121" i="206"/>
  <c r="R121" i="206" s="1"/>
  <c r="O65" i="206"/>
  <c r="O69" i="206" s="1"/>
  <c r="Q65" i="206"/>
  <c r="O32" i="206"/>
  <c r="O37" i="206" s="1"/>
  <c r="Q32" i="206"/>
  <c r="Q37" i="206" s="1"/>
  <c r="I100" i="205"/>
  <c r="J100" i="205"/>
  <c r="K100" i="205"/>
  <c r="L100" i="205"/>
  <c r="M100" i="205"/>
  <c r="N100" i="205"/>
  <c r="AD100" i="205"/>
  <c r="AE100" i="205"/>
  <c r="AF100" i="205"/>
  <c r="AG100" i="205"/>
  <c r="P84" i="205"/>
  <c r="I79" i="205"/>
  <c r="J79" i="205"/>
  <c r="K79" i="205"/>
  <c r="L79" i="205"/>
  <c r="M79" i="205"/>
  <c r="N79" i="205"/>
  <c r="P79" i="205"/>
  <c r="AD79" i="205"/>
  <c r="AE79" i="205"/>
  <c r="AF79" i="205"/>
  <c r="AG79" i="205"/>
  <c r="I60" i="205"/>
  <c r="J60" i="205"/>
  <c r="K60" i="205"/>
  <c r="L60" i="205"/>
  <c r="M60" i="205"/>
  <c r="N60" i="205"/>
  <c r="AD60" i="205"/>
  <c r="AE60" i="205"/>
  <c r="AF60" i="205"/>
  <c r="AG60" i="205"/>
  <c r="H60" i="205"/>
  <c r="I24" i="205"/>
  <c r="J24" i="205"/>
  <c r="K24" i="205"/>
  <c r="L24" i="205"/>
  <c r="M24" i="205"/>
  <c r="N24" i="205"/>
  <c r="P24" i="205"/>
  <c r="AD24" i="205"/>
  <c r="AE24" i="205"/>
  <c r="AF24" i="205"/>
  <c r="AG24" i="205"/>
  <c r="O21" i="207"/>
  <c r="Q21" i="207"/>
  <c r="R21" i="207" s="1"/>
  <c r="W21" i="207" s="1"/>
  <c r="O20" i="207"/>
  <c r="Q20" i="207"/>
  <c r="R20" i="207" s="1"/>
  <c r="B58" i="2"/>
  <c r="B55" i="2"/>
  <c r="B56" i="2"/>
  <c r="D55" i="2"/>
  <c r="C55" i="2"/>
  <c r="F55" i="2"/>
  <c r="F58" i="2"/>
  <c r="F56" i="2"/>
  <c r="F57" i="2"/>
  <c r="G50" i="2"/>
  <c r="F51" i="2"/>
  <c r="G51" i="2"/>
  <c r="F52" i="2"/>
  <c r="G52" i="2"/>
  <c r="F53" i="2"/>
  <c r="G53" i="2"/>
  <c r="F54" i="2"/>
  <c r="G54" i="2"/>
  <c r="G55" i="2"/>
  <c r="G56" i="2"/>
  <c r="G57" i="2"/>
  <c r="G58" i="2"/>
  <c r="F59" i="2"/>
  <c r="G59" i="2"/>
  <c r="F60" i="2"/>
  <c r="G60" i="2"/>
  <c r="B61" i="2"/>
  <c r="B59" i="2"/>
  <c r="D58" i="2"/>
  <c r="C58" i="2"/>
  <c r="B57" i="2"/>
  <c r="D56" i="2"/>
  <c r="C56" i="2"/>
  <c r="B54" i="2"/>
  <c r="D54" i="2"/>
  <c r="C54" i="2"/>
  <c r="O13" i="206"/>
  <c r="O22" i="206" s="1"/>
  <c r="Q13" i="206"/>
  <c r="U15" i="206"/>
  <c r="O11" i="207"/>
  <c r="Q11" i="207"/>
  <c r="D57" i="2"/>
  <c r="C57" i="2"/>
  <c r="Q16" i="207"/>
  <c r="R16" i="207" s="1"/>
  <c r="U16" i="207" s="1"/>
  <c r="O17" i="207"/>
  <c r="Q17" i="207"/>
  <c r="R17" i="207" s="1"/>
  <c r="O18" i="207"/>
  <c r="Q18" i="207"/>
  <c r="R18" i="207" s="1"/>
  <c r="W18" i="207" s="1"/>
  <c r="O19" i="207"/>
  <c r="Q19" i="207"/>
  <c r="R19" i="207" s="1"/>
  <c r="O12" i="208"/>
  <c r="Q12" i="208"/>
  <c r="O13" i="208"/>
  <c r="Q13" i="208"/>
  <c r="R13" i="208" s="1"/>
  <c r="S13" i="208" s="1"/>
  <c r="T13" i="208" s="1"/>
  <c r="O15" i="208"/>
  <c r="Q15" i="208"/>
  <c r="R15" i="208" s="1"/>
  <c r="Q17" i="208"/>
  <c r="R17" i="208" s="1"/>
  <c r="S17" i="208" s="1"/>
  <c r="T17" i="208" s="1"/>
  <c r="O18" i="208"/>
  <c r="Q18" i="208"/>
  <c r="R18" i="208" s="1"/>
  <c r="O19" i="208"/>
  <c r="Q19" i="208"/>
  <c r="R19" i="208" s="1"/>
  <c r="S19" i="208" s="1"/>
  <c r="T19" i="208" s="1"/>
  <c r="O20" i="208"/>
  <c r="Q20" i="208"/>
  <c r="R20" i="208" s="1"/>
  <c r="O21" i="208"/>
  <c r="Q21" i="208"/>
  <c r="R21" i="208" s="1"/>
  <c r="S21" i="208" s="1"/>
  <c r="T21" i="208" s="1"/>
  <c r="O16" i="208"/>
  <c r="Q16" i="208"/>
  <c r="R16" i="208" s="1"/>
  <c r="O27" i="206"/>
  <c r="O29" i="206"/>
  <c r="Q29" i="206"/>
  <c r="R29" i="206" s="1"/>
  <c r="S29" i="206" s="1"/>
  <c r="T29" i="206" s="1"/>
  <c r="O40" i="206"/>
  <c r="Q40" i="206"/>
  <c r="O42" i="206"/>
  <c r="Q42" i="206"/>
  <c r="R42" i="206" s="1"/>
  <c r="O48" i="206"/>
  <c r="Q48" i="206"/>
  <c r="Q49" i="206"/>
  <c r="O74" i="206"/>
  <c r="Q74" i="206"/>
  <c r="R74" i="206" s="1"/>
  <c r="O75" i="206"/>
  <c r="Q75" i="206"/>
  <c r="R75" i="206" s="1"/>
  <c r="U75" i="206" s="1"/>
  <c r="O77" i="206"/>
  <c r="Q77" i="206"/>
  <c r="R77" i="206" s="1"/>
  <c r="Q78" i="206"/>
  <c r="R78" i="206" s="1"/>
  <c r="S78" i="206" s="1"/>
  <c r="O79" i="206"/>
  <c r="Q79" i="206"/>
  <c r="R79" i="206" s="1"/>
  <c r="O82" i="206"/>
  <c r="Q82" i="206"/>
  <c r="Q92" i="206"/>
  <c r="H75" i="205"/>
  <c r="H79" i="205"/>
  <c r="H103" i="205"/>
  <c r="O98" i="205"/>
  <c r="O99" i="205"/>
  <c r="Q98" i="205"/>
  <c r="Q99" i="205"/>
  <c r="R99" i="205" s="1"/>
  <c r="Y99" i="205" s="1"/>
  <c r="R98" i="205"/>
  <c r="Y98" i="205" s="1"/>
  <c r="O93" i="205"/>
  <c r="Q93" i="205"/>
  <c r="I91" i="205"/>
  <c r="J91" i="205"/>
  <c r="K91" i="205"/>
  <c r="L91" i="205"/>
  <c r="M91" i="205"/>
  <c r="N91" i="205"/>
  <c r="O90" i="205"/>
  <c r="P91" i="205"/>
  <c r="Q90" i="205"/>
  <c r="R90" i="205" s="1"/>
  <c r="Y90" i="205" s="1"/>
  <c r="Y91" i="205" s="1"/>
  <c r="AD91" i="205"/>
  <c r="AE91" i="205"/>
  <c r="AF91" i="205"/>
  <c r="AG91" i="205"/>
  <c r="O87" i="205"/>
  <c r="Q87" i="205"/>
  <c r="R87" i="205" s="1"/>
  <c r="O81" i="205"/>
  <c r="O84" i="205" s="1"/>
  <c r="Q81" i="205"/>
  <c r="Q82" i="205"/>
  <c r="R82" i="205" s="1"/>
  <c r="Y82" i="205" s="1"/>
  <c r="O77" i="205"/>
  <c r="O78" i="205"/>
  <c r="Q77" i="205"/>
  <c r="R77" i="205" s="1"/>
  <c r="Q78" i="205"/>
  <c r="R78" i="205" s="1"/>
  <c r="Y78" i="205" s="1"/>
  <c r="O67" i="205"/>
  <c r="O68" i="205"/>
  <c r="O69" i="205"/>
  <c r="O70" i="205"/>
  <c r="Q67" i="205"/>
  <c r="Q68" i="205"/>
  <c r="R68" i="205" s="1"/>
  <c r="Y68" i="205" s="1"/>
  <c r="Q69" i="205"/>
  <c r="R69" i="205" s="1"/>
  <c r="Y69" i="205" s="1"/>
  <c r="Q70" i="205"/>
  <c r="R70" i="205" s="1"/>
  <c r="Y70" i="205" s="1"/>
  <c r="O59" i="205"/>
  <c r="Q59" i="205"/>
  <c r="R59" i="205" s="1"/>
  <c r="Y59" i="205" s="1"/>
  <c r="Y60" i="205" s="1"/>
  <c r="O56" i="205"/>
  <c r="O57" i="205" s="1"/>
  <c r="Q56" i="205"/>
  <c r="Q57" i="205" s="1"/>
  <c r="O48" i="205"/>
  <c r="O49" i="205" s="1"/>
  <c r="Q48" i="205"/>
  <c r="Q41" i="205"/>
  <c r="Q42" i="205"/>
  <c r="R42" i="205" s="1"/>
  <c r="Y42" i="205" s="1"/>
  <c r="Q43" i="205"/>
  <c r="R43" i="205" s="1"/>
  <c r="Y43" i="205" s="1"/>
  <c r="O36" i="205"/>
  <c r="O38" i="205" s="1"/>
  <c r="Q36" i="205"/>
  <c r="O30" i="205"/>
  <c r="O33" i="205"/>
  <c r="Q30" i="205"/>
  <c r="Q31" i="205"/>
  <c r="R31" i="205" s="1"/>
  <c r="Y31" i="205" s="1"/>
  <c r="Q33" i="205"/>
  <c r="R33" i="205" s="1"/>
  <c r="O23" i="205"/>
  <c r="Q23" i="205"/>
  <c r="R23" i="205" s="1"/>
  <c r="Q17" i="205"/>
  <c r="R17" i="205" s="1"/>
  <c r="B60" i="2"/>
  <c r="D60" i="2"/>
  <c r="C60" i="2"/>
  <c r="Q16" i="205"/>
  <c r="Q21" i="205" s="1"/>
  <c r="O51" i="205"/>
  <c r="Q51" i="205"/>
  <c r="O52" i="205"/>
  <c r="Q52" i="205"/>
  <c r="R52" i="205" s="1"/>
  <c r="O74" i="205"/>
  <c r="Q74" i="205"/>
  <c r="R74" i="205" s="1"/>
  <c r="Y74" i="205" s="1"/>
  <c r="Y75" i="205" s="1"/>
  <c r="O102" i="205"/>
  <c r="Q102" i="205"/>
  <c r="R102" i="205" s="1"/>
  <c r="Y102" i="205" s="1"/>
  <c r="Y103" i="205" s="1"/>
  <c r="Q62" i="205"/>
  <c r="R62" i="205" s="1"/>
  <c r="Y62" i="205" s="1"/>
  <c r="Y64" i="205" s="1"/>
  <c r="I64" i="205"/>
  <c r="I75" i="205"/>
  <c r="I103" i="205"/>
  <c r="J64" i="205"/>
  <c r="J75" i="205"/>
  <c r="J103" i="205"/>
  <c r="K64" i="205"/>
  <c r="K75" i="205"/>
  <c r="K103" i="205"/>
  <c r="L64" i="205"/>
  <c r="L75" i="205"/>
  <c r="L103" i="205"/>
  <c r="M64" i="205"/>
  <c r="M75" i="205"/>
  <c r="M103" i="205"/>
  <c r="N64" i="205"/>
  <c r="N75" i="205"/>
  <c r="N103" i="205"/>
  <c r="P64" i="205"/>
  <c r="P75" i="205"/>
  <c r="AD64" i="205"/>
  <c r="AD75" i="205"/>
  <c r="AD103" i="205"/>
  <c r="AE64" i="205"/>
  <c r="AE75" i="205"/>
  <c r="AE103" i="205"/>
  <c r="AF64" i="205"/>
  <c r="AF75" i="205"/>
  <c r="AF103" i="205"/>
  <c r="AG64" i="205"/>
  <c r="AG75" i="205"/>
  <c r="AG103" i="205"/>
  <c r="Q16" i="210"/>
  <c r="O17" i="210"/>
  <c r="Q17" i="210"/>
  <c r="R17" i="210" s="1"/>
  <c r="S17" i="210" s="1"/>
  <c r="Q19" i="210"/>
  <c r="R19" i="210" s="1"/>
  <c r="Y19" i="210" s="1"/>
  <c r="O21" i="210"/>
  <c r="Q21" i="210"/>
  <c r="R21" i="210" s="1"/>
  <c r="O22" i="210"/>
  <c r="Q22" i="210"/>
  <c r="R22" i="210" s="1"/>
  <c r="W22" i="210" s="1"/>
  <c r="O18" i="210"/>
  <c r="Q18" i="210"/>
  <c r="R18" i="210" s="1"/>
  <c r="Y18" i="210" s="1"/>
  <c r="O20" i="210"/>
  <c r="Q20" i="210"/>
  <c r="R20" i="210" s="1"/>
  <c r="I27" i="210"/>
  <c r="J27" i="210"/>
  <c r="K27" i="210"/>
  <c r="L27" i="210"/>
  <c r="M27" i="210"/>
  <c r="N27" i="210"/>
  <c r="AD27" i="210"/>
  <c r="AE27" i="210"/>
  <c r="AF27" i="210"/>
  <c r="Q18" i="203"/>
  <c r="J18" i="203"/>
  <c r="O18" i="203" s="1"/>
  <c r="Q17" i="203"/>
  <c r="J17" i="203"/>
  <c r="Q19" i="203"/>
  <c r="J19" i="203"/>
  <c r="O19" i="203" s="1"/>
  <c r="Q16" i="203"/>
  <c r="Q24" i="203" s="1"/>
  <c r="J16" i="203"/>
  <c r="D63" i="2"/>
  <c r="D62" i="2"/>
  <c r="D61" i="2"/>
  <c r="D59" i="2"/>
  <c r="C63" i="2"/>
  <c r="C62" i="2"/>
  <c r="C61" i="2"/>
  <c r="C59" i="2"/>
  <c r="B63" i="2"/>
  <c r="B62" i="2"/>
  <c r="C15" i="68"/>
  <c r="C26" i="68" s="1"/>
  <c r="D53" i="2"/>
  <c r="O27" i="210" l="1"/>
  <c r="C22" i="68"/>
  <c r="R16" i="210"/>
  <c r="R27" i="210" s="1"/>
  <c r="Q27" i="210"/>
  <c r="R139" i="206"/>
  <c r="R140" i="206" s="1"/>
  <c r="Q140" i="206"/>
  <c r="O30" i="208"/>
  <c r="Q30" i="208"/>
  <c r="R12" i="208"/>
  <c r="R30" i="208" s="1"/>
  <c r="Q53" i="205"/>
  <c r="Q45" i="205"/>
  <c r="AG112" i="205"/>
  <c r="R36" i="205"/>
  <c r="Q38" i="205"/>
  <c r="AE112" i="205"/>
  <c r="P112" i="205"/>
  <c r="M112" i="205"/>
  <c r="K112" i="205"/>
  <c r="I112" i="205"/>
  <c r="O53" i="205"/>
  <c r="R30" i="205"/>
  <c r="W30" i="205" s="1"/>
  <c r="Q34" i="205"/>
  <c r="O34" i="205"/>
  <c r="R48" i="205"/>
  <c r="W48" i="205" s="1"/>
  <c r="W49" i="205" s="1"/>
  <c r="Q49" i="205"/>
  <c r="AF112" i="205"/>
  <c r="AD112" i="205"/>
  <c r="N112" i="205"/>
  <c r="L112" i="205"/>
  <c r="J112" i="205"/>
  <c r="H112" i="205"/>
  <c r="Q46" i="206"/>
  <c r="Y42" i="206"/>
  <c r="O46" i="206"/>
  <c r="O16" i="203"/>
  <c r="J24" i="203"/>
  <c r="R16" i="205"/>
  <c r="O72" i="205"/>
  <c r="O100" i="205"/>
  <c r="R20" i="203"/>
  <c r="U20" i="203" s="1"/>
  <c r="O127" i="206"/>
  <c r="O84" i="206"/>
  <c r="O80" i="206"/>
  <c r="O62" i="206"/>
  <c r="Y17" i="205"/>
  <c r="S52" i="205"/>
  <c r="T52" i="205" s="1"/>
  <c r="Y52" i="205"/>
  <c r="S77" i="205"/>
  <c r="Y77" i="205"/>
  <c r="Y79" i="205" s="1"/>
  <c r="S87" i="205"/>
  <c r="T87" i="205" s="1"/>
  <c r="Y87" i="205"/>
  <c r="Y88" i="205" s="1"/>
  <c r="S23" i="205"/>
  <c r="T23" i="205" s="1"/>
  <c r="Y23" i="205"/>
  <c r="Y24" i="205" s="1"/>
  <c r="S33" i="205"/>
  <c r="T33" i="205" s="1"/>
  <c r="Y33" i="205"/>
  <c r="Y100" i="205"/>
  <c r="W31" i="205"/>
  <c r="U31" i="205"/>
  <c r="O103" i="205"/>
  <c r="O75" i="205"/>
  <c r="S82" i="205"/>
  <c r="T82" i="205" s="1"/>
  <c r="W82" i="205"/>
  <c r="U121" i="206"/>
  <c r="Y121" i="206"/>
  <c r="U119" i="206"/>
  <c r="Y119" i="206"/>
  <c r="U113" i="206"/>
  <c r="Y113" i="206"/>
  <c r="U123" i="206"/>
  <c r="Y123" i="206"/>
  <c r="U120" i="206"/>
  <c r="Y120" i="206"/>
  <c r="U114" i="206"/>
  <c r="Y114" i="206"/>
  <c r="S42" i="206"/>
  <c r="T42" i="206" s="1"/>
  <c r="W42" i="206"/>
  <c r="U42" i="206"/>
  <c r="R49" i="206"/>
  <c r="Y49" i="206" s="1"/>
  <c r="R159" i="206"/>
  <c r="S17" i="205"/>
  <c r="W17" i="205"/>
  <c r="U17" i="205"/>
  <c r="S31" i="205"/>
  <c r="T31" i="205" s="1"/>
  <c r="R41" i="205"/>
  <c r="R145" i="206"/>
  <c r="U145" i="206" s="1"/>
  <c r="Q42" i="207"/>
  <c r="O42" i="207"/>
  <c r="R67" i="205"/>
  <c r="Q72" i="205"/>
  <c r="R56" i="205"/>
  <c r="R57" i="205" s="1"/>
  <c r="R18" i="203"/>
  <c r="Y18" i="203" s="1"/>
  <c r="R19" i="203"/>
  <c r="W19" i="203" s="1"/>
  <c r="O30" i="206"/>
  <c r="Q22" i="206"/>
  <c r="Q127" i="206"/>
  <c r="R95" i="206"/>
  <c r="R109" i="206" s="1"/>
  <c r="Q109" i="206"/>
  <c r="Q84" i="206"/>
  <c r="R80" i="206"/>
  <c r="Q80" i="206"/>
  <c r="Q62" i="206"/>
  <c r="R27" i="206"/>
  <c r="R30" i="206" s="1"/>
  <c r="Q30" i="206"/>
  <c r="R65" i="206"/>
  <c r="R69" i="206" s="1"/>
  <c r="Q69" i="206"/>
  <c r="R134" i="206"/>
  <c r="S134" i="206" s="1"/>
  <c r="Q134" i="206"/>
  <c r="R142" i="206"/>
  <c r="Q150" i="206"/>
  <c r="Q153" i="206" s="1"/>
  <c r="O150" i="206"/>
  <c r="O153" i="206" s="1"/>
  <c r="S22" i="210"/>
  <c r="T22" i="210" s="1"/>
  <c r="C16" i="68"/>
  <c r="C18" i="68" s="1"/>
  <c r="U18" i="210"/>
  <c r="Y22" i="210"/>
  <c r="U22" i="210"/>
  <c r="S16" i="210"/>
  <c r="Q95" i="205"/>
  <c r="S99" i="205"/>
  <c r="T99" i="205" s="1"/>
  <c r="U99" i="205"/>
  <c r="W99" i="205"/>
  <c r="S69" i="205"/>
  <c r="T69" i="205" s="1"/>
  <c r="U69" i="205"/>
  <c r="W69" i="205"/>
  <c r="S59" i="205"/>
  <c r="T59" i="205" s="1"/>
  <c r="U59" i="205"/>
  <c r="W59" i="205"/>
  <c r="W60" i="205" s="1"/>
  <c r="S70" i="205"/>
  <c r="T70" i="205" s="1"/>
  <c r="U70" i="205"/>
  <c r="W70" i="205"/>
  <c r="S78" i="205"/>
  <c r="T78" i="205" s="1"/>
  <c r="U78" i="205"/>
  <c r="W78" i="205"/>
  <c r="T77" i="205"/>
  <c r="W68" i="205"/>
  <c r="U68" i="205"/>
  <c r="S68" i="205"/>
  <c r="T68" i="205" s="1"/>
  <c r="W77" i="205"/>
  <c r="U77" i="205"/>
  <c r="S88" i="205"/>
  <c r="R93" i="205"/>
  <c r="O95" i="205"/>
  <c r="W98" i="205"/>
  <c r="U98" i="205"/>
  <c r="S98" i="205"/>
  <c r="T98" i="205" s="1"/>
  <c r="U23" i="205"/>
  <c r="V23" i="205" s="1"/>
  <c r="W87" i="205"/>
  <c r="U87" i="205"/>
  <c r="V87" i="205" s="1"/>
  <c r="V15" i="206"/>
  <c r="R48" i="206"/>
  <c r="C19" i="68"/>
  <c r="Q75" i="205"/>
  <c r="R88" i="205"/>
  <c r="Q88" i="205"/>
  <c r="O88" i="205"/>
  <c r="Q91" i="205"/>
  <c r="R13" i="206"/>
  <c r="R22" i="206" s="1"/>
  <c r="W15" i="206"/>
  <c r="R32" i="206"/>
  <c r="R37" i="206" s="1"/>
  <c r="AH23" i="207"/>
  <c r="AI23" i="207" s="1"/>
  <c r="Y78" i="206"/>
  <c r="Y75" i="206"/>
  <c r="W23" i="205"/>
  <c r="O91" i="205"/>
  <c r="U78" i="206"/>
  <c r="W17" i="206"/>
  <c r="U17" i="206"/>
  <c r="W78" i="206"/>
  <c r="AC158" i="206"/>
  <c r="AB158" i="206"/>
  <c r="Y16" i="207"/>
  <c r="AB16" i="207" s="1"/>
  <c r="S74" i="205"/>
  <c r="S75" i="205" s="1"/>
  <c r="R75" i="205"/>
  <c r="R60" i="205"/>
  <c r="Q60" i="205"/>
  <c r="O60" i="205"/>
  <c r="R79" i="205"/>
  <c r="Q79" i="205"/>
  <c r="O79" i="205"/>
  <c r="R17" i="203"/>
  <c r="O17" i="203"/>
  <c r="R103" i="205"/>
  <c r="S102" i="205"/>
  <c r="S103" i="205" s="1"/>
  <c r="U102" i="205"/>
  <c r="U103" i="205" s="1"/>
  <c r="W102" i="205"/>
  <c r="W103" i="205" s="1"/>
  <c r="W36" i="205"/>
  <c r="W38" i="205" s="1"/>
  <c r="S36" i="205"/>
  <c r="S38" i="205" s="1"/>
  <c r="U36" i="205"/>
  <c r="U38" i="205" s="1"/>
  <c r="U43" i="205"/>
  <c r="S43" i="205"/>
  <c r="T43" i="205" s="1"/>
  <c r="W43" i="205"/>
  <c r="S42" i="205"/>
  <c r="T42" i="205" s="1"/>
  <c r="U42" i="205"/>
  <c r="W42" i="205"/>
  <c r="R16" i="203"/>
  <c r="S20" i="210"/>
  <c r="T20" i="210" s="1"/>
  <c r="U20" i="210"/>
  <c r="W20" i="210"/>
  <c r="Y20" i="210"/>
  <c r="W18" i="210"/>
  <c r="S18" i="210"/>
  <c r="T18" i="210" s="1"/>
  <c r="S21" i="210"/>
  <c r="T21" i="210" s="1"/>
  <c r="U21" i="210"/>
  <c r="W21" i="210"/>
  <c r="Y21" i="210"/>
  <c r="S19" i="210"/>
  <c r="T19" i="210" s="1"/>
  <c r="U19" i="210"/>
  <c r="W19" i="210"/>
  <c r="R64" i="205"/>
  <c r="S64" i="205" s="1"/>
  <c r="U62" i="205"/>
  <c r="U64" i="205" s="1"/>
  <c r="S62" i="205"/>
  <c r="W62" i="205"/>
  <c r="W64" i="205" s="1"/>
  <c r="U82" i="205"/>
  <c r="S90" i="205"/>
  <c r="U90" i="205"/>
  <c r="W90" i="205"/>
  <c r="Q84" i="205"/>
  <c r="R82" i="206"/>
  <c r="R84" i="206" s="1"/>
  <c r="S79" i="206"/>
  <c r="T79" i="206" s="1"/>
  <c r="U79" i="206"/>
  <c r="W79" i="206"/>
  <c r="Y79" i="206"/>
  <c r="S74" i="206"/>
  <c r="T74" i="206" s="1"/>
  <c r="U74" i="206"/>
  <c r="W74" i="206"/>
  <c r="Y74" i="206"/>
  <c r="R40" i="206"/>
  <c r="R46" i="206" s="1"/>
  <c r="S16" i="208"/>
  <c r="T16" i="208" s="1"/>
  <c r="U16" i="208"/>
  <c r="W16" i="208"/>
  <c r="Y16" i="208"/>
  <c r="S18" i="208"/>
  <c r="T18" i="208" s="1"/>
  <c r="U18" i="208"/>
  <c r="W18" i="208"/>
  <c r="Y18" i="208"/>
  <c r="S12" i="208"/>
  <c r="U12" i="208"/>
  <c r="W12" i="208"/>
  <c r="Y12" i="208"/>
  <c r="T17" i="210"/>
  <c r="Y17" i="210"/>
  <c r="W17" i="210"/>
  <c r="U17" i="210"/>
  <c r="Y16" i="210"/>
  <c r="W16" i="210"/>
  <c r="U16" i="210"/>
  <c r="U27" i="210" s="1"/>
  <c r="Q103" i="205"/>
  <c r="Q64" i="205"/>
  <c r="W74" i="205"/>
  <c r="W75" i="205" s="1"/>
  <c r="U74" i="205"/>
  <c r="U75" i="205" s="1"/>
  <c r="W52" i="205"/>
  <c r="U52" i="205"/>
  <c r="R51" i="205"/>
  <c r="R24" i="205"/>
  <c r="Q24" i="205"/>
  <c r="O24" i="205"/>
  <c r="W33" i="205"/>
  <c r="U33" i="205"/>
  <c r="S30" i="205"/>
  <c r="U41" i="205"/>
  <c r="U45" i="205" s="1"/>
  <c r="U48" i="205"/>
  <c r="U49" i="205" s="1"/>
  <c r="R81" i="205"/>
  <c r="Y81" i="205" s="1"/>
  <c r="Y84" i="205" s="1"/>
  <c r="R100" i="205"/>
  <c r="Q100" i="205"/>
  <c r="T78" i="206"/>
  <c r="S77" i="206"/>
  <c r="T77" i="206" s="1"/>
  <c r="U77" i="206"/>
  <c r="W77" i="206"/>
  <c r="Y77" i="206"/>
  <c r="W75" i="206"/>
  <c r="S75" i="206"/>
  <c r="T75" i="206" s="1"/>
  <c r="V75" i="206" s="1"/>
  <c r="S20" i="208"/>
  <c r="T20" i="208" s="1"/>
  <c r="U20" i="208"/>
  <c r="W20" i="208"/>
  <c r="Y20" i="208"/>
  <c r="S15" i="208"/>
  <c r="T15" i="208" s="1"/>
  <c r="U15" i="208"/>
  <c r="W15" i="208"/>
  <c r="Y15" i="208"/>
  <c r="Y29" i="206"/>
  <c r="W29" i="206"/>
  <c r="U29" i="206"/>
  <c r="V29" i="206" s="1"/>
  <c r="Y21" i="208"/>
  <c r="W21" i="208"/>
  <c r="U21" i="208"/>
  <c r="V21" i="208" s="1"/>
  <c r="Y19" i="208"/>
  <c r="W19" i="208"/>
  <c r="U19" i="208"/>
  <c r="V19" i="208" s="1"/>
  <c r="Y17" i="208"/>
  <c r="W17" i="208"/>
  <c r="U17" i="208"/>
  <c r="V17" i="208" s="1"/>
  <c r="Y13" i="208"/>
  <c r="W13" i="208"/>
  <c r="U13" i="208"/>
  <c r="V13" i="208" s="1"/>
  <c r="U14" i="206"/>
  <c r="U102" i="206"/>
  <c r="U22" i="208"/>
  <c r="W14" i="206"/>
  <c r="T102" i="206"/>
  <c r="U146" i="206"/>
  <c r="S144" i="206"/>
  <c r="T144" i="206" s="1"/>
  <c r="U144" i="206"/>
  <c r="W144" i="206"/>
  <c r="S129" i="206"/>
  <c r="T129" i="206" s="1"/>
  <c r="U129" i="206"/>
  <c r="W129" i="206"/>
  <c r="W102" i="206"/>
  <c r="U143" i="206"/>
  <c r="S146" i="206"/>
  <c r="T146" i="206" s="1"/>
  <c r="W146" i="206"/>
  <c r="U147" i="206"/>
  <c r="U66" i="206"/>
  <c r="S113" i="206"/>
  <c r="T113" i="206" s="1"/>
  <c r="S120" i="206"/>
  <c r="S121" i="206"/>
  <c r="T121" i="206" s="1"/>
  <c r="W113" i="206"/>
  <c r="W120" i="206"/>
  <c r="W121" i="206"/>
  <c r="S119" i="206"/>
  <c r="T119" i="206" s="1"/>
  <c r="W119" i="206"/>
  <c r="S114" i="206"/>
  <c r="T114" i="206" s="1"/>
  <c r="W114" i="206"/>
  <c r="Y66" i="206"/>
  <c r="S148" i="206"/>
  <c r="T148" i="206" s="1"/>
  <c r="U148" i="206"/>
  <c r="W148" i="206"/>
  <c r="Y148" i="206"/>
  <c r="Y147" i="206"/>
  <c r="Y143" i="206"/>
  <c r="S59" i="206"/>
  <c r="T59" i="206" s="1"/>
  <c r="U59" i="206"/>
  <c r="W59" i="206"/>
  <c r="Y59" i="206"/>
  <c r="S22" i="207"/>
  <c r="T22" i="207" s="1"/>
  <c r="S149" i="206"/>
  <c r="T149" i="206" s="1"/>
  <c r="U149" i="206"/>
  <c r="W149" i="206"/>
  <c r="Y149" i="206"/>
  <c r="Y22" i="208"/>
  <c r="Y102" i="206"/>
  <c r="W20" i="207"/>
  <c r="R111" i="206"/>
  <c r="R127" i="206" s="1"/>
  <c r="Y129" i="206"/>
  <c r="Y144" i="206"/>
  <c r="W66" i="206"/>
  <c r="S66" i="206"/>
  <c r="T66" i="206" s="1"/>
  <c r="W147" i="206"/>
  <c r="S147" i="206"/>
  <c r="T147" i="206" s="1"/>
  <c r="Y146" i="206"/>
  <c r="W143" i="206"/>
  <c r="S143" i="206"/>
  <c r="T143" i="206" s="1"/>
  <c r="S123" i="206"/>
  <c r="T123" i="206" s="1"/>
  <c r="W123" i="206"/>
  <c r="W56" i="206"/>
  <c r="S60" i="206"/>
  <c r="T60" i="206" s="1"/>
  <c r="U60" i="206"/>
  <c r="W60" i="206"/>
  <c r="Y60" i="206"/>
  <c r="S22" i="208"/>
  <c r="T22" i="208" s="1"/>
  <c r="W22" i="208"/>
  <c r="S20" i="203"/>
  <c r="T20" i="203" s="1"/>
  <c r="Y18" i="207"/>
  <c r="AB18" i="207" s="1"/>
  <c r="S16" i="207"/>
  <c r="T16" i="207" s="1"/>
  <c r="V16" i="207" s="1"/>
  <c r="Y21" i="207"/>
  <c r="AB21" i="207" s="1"/>
  <c r="W16" i="207"/>
  <c r="Y19" i="207"/>
  <c r="AB19" i="207" s="1"/>
  <c r="U19" i="207"/>
  <c r="S19" i="207"/>
  <c r="T19" i="207" s="1"/>
  <c r="W19" i="207"/>
  <c r="S17" i="207"/>
  <c r="T17" i="207" s="1"/>
  <c r="W17" i="207"/>
  <c r="Y17" i="207"/>
  <c r="AB17" i="207" s="1"/>
  <c r="U17" i="207"/>
  <c r="R11" i="207"/>
  <c r="R42" i="207" s="1"/>
  <c r="U20" i="207"/>
  <c r="U18" i="207"/>
  <c r="S20" i="207"/>
  <c r="T20" i="207" s="1"/>
  <c r="U21" i="207"/>
  <c r="S18" i="207"/>
  <c r="T18" i="207" s="1"/>
  <c r="Y20" i="207"/>
  <c r="AB20" i="207" s="1"/>
  <c r="S21" i="207"/>
  <c r="T21" i="207" s="1"/>
  <c r="Y22" i="207"/>
  <c r="U22" i="207"/>
  <c r="W22" i="207"/>
  <c r="Y27" i="210" l="1"/>
  <c r="W27" i="210"/>
  <c r="T16" i="210"/>
  <c r="T27" i="210" s="1"/>
  <c r="S27" i="210"/>
  <c r="O167" i="206"/>
  <c r="Y30" i="208"/>
  <c r="U30" i="208"/>
  <c r="W30" i="208"/>
  <c r="T12" i="208"/>
  <c r="T30" i="208" s="1"/>
  <c r="S30" i="208"/>
  <c r="S48" i="205"/>
  <c r="S49" i="205" s="1"/>
  <c r="U30" i="205"/>
  <c r="U34" i="205" s="1"/>
  <c r="O112" i="205"/>
  <c r="W34" i="205"/>
  <c r="Q112" i="205"/>
  <c r="Y48" i="205"/>
  <c r="Y49" i="205" s="1"/>
  <c r="R49" i="205"/>
  <c r="Y41" i="205"/>
  <c r="Y45" i="205" s="1"/>
  <c r="R45" i="205"/>
  <c r="S34" i="205"/>
  <c r="Y51" i="205"/>
  <c r="Y53" i="205" s="1"/>
  <c r="R53" i="205"/>
  <c r="V31" i="205"/>
  <c r="Y16" i="205"/>
  <c r="Y21" i="205" s="1"/>
  <c r="R21" i="205"/>
  <c r="Y30" i="205"/>
  <c r="Y34" i="205" s="1"/>
  <c r="R34" i="205"/>
  <c r="Y36" i="205"/>
  <c r="Y38" i="205" s="1"/>
  <c r="R38" i="205"/>
  <c r="AL153" i="206"/>
  <c r="R24" i="203"/>
  <c r="W16" i="205"/>
  <c r="W21" i="205" s="1"/>
  <c r="V33" i="205"/>
  <c r="X33" i="205" s="1"/>
  <c r="Z33" i="205" s="1"/>
  <c r="AB33" i="205" s="1"/>
  <c r="O24" i="203"/>
  <c r="R150" i="206"/>
  <c r="R153" i="206" s="1"/>
  <c r="W20" i="203"/>
  <c r="Y20" i="203"/>
  <c r="W41" i="205"/>
  <c r="W45" i="205" s="1"/>
  <c r="X31" i="205"/>
  <c r="Z31" i="205" s="1"/>
  <c r="AB31" i="205" s="1"/>
  <c r="V43" i="205"/>
  <c r="X43" i="205" s="1"/>
  <c r="Z43" i="205" s="1"/>
  <c r="AB43" i="205" s="1"/>
  <c r="U16" i="205"/>
  <c r="U21" i="205" s="1"/>
  <c r="S16" i="205"/>
  <c r="S21" i="205" s="1"/>
  <c r="T17" i="205"/>
  <c r="X87" i="205"/>
  <c r="X23" i="205"/>
  <c r="S93" i="205"/>
  <c r="T93" i="205" s="1"/>
  <c r="Y93" i="205"/>
  <c r="Y95" i="205" s="1"/>
  <c r="Y56" i="205"/>
  <c r="Y57" i="205" s="1"/>
  <c r="W67" i="205"/>
  <c r="W72" i="205" s="1"/>
  <c r="Y67" i="205"/>
  <c r="Y72" i="205" s="1"/>
  <c r="S41" i="205"/>
  <c r="U40" i="206"/>
  <c r="U46" i="206" s="1"/>
  <c r="S49" i="206"/>
  <c r="T49" i="206" s="1"/>
  <c r="W49" i="206"/>
  <c r="W145" i="206"/>
  <c r="R62" i="206"/>
  <c r="R162" i="206"/>
  <c r="Q162" i="206"/>
  <c r="Q167" i="206" s="1"/>
  <c r="U49" i="206"/>
  <c r="U18" i="203"/>
  <c r="S145" i="206"/>
  <c r="T145" i="206" s="1"/>
  <c r="Y145" i="206"/>
  <c r="U65" i="206"/>
  <c r="U69" i="206" s="1"/>
  <c r="U19" i="203"/>
  <c r="C21" i="68"/>
  <c r="C24" i="68" s="1"/>
  <c r="C28" i="68" s="1"/>
  <c r="C40" i="68" s="1"/>
  <c r="W92" i="206"/>
  <c r="R92" i="206"/>
  <c r="U95" i="206"/>
  <c r="U109" i="206" s="1"/>
  <c r="Y65" i="206"/>
  <c r="Y69" i="206" s="1"/>
  <c r="W27" i="206"/>
  <c r="W30" i="206" s="1"/>
  <c r="S56" i="205"/>
  <c r="S95" i="206"/>
  <c r="S109" i="206" s="1"/>
  <c r="W142" i="206"/>
  <c r="W150" i="206" s="1"/>
  <c r="U67" i="205"/>
  <c r="U72" i="205" s="1"/>
  <c r="U92" i="206"/>
  <c r="Y92" i="206"/>
  <c r="U100" i="205"/>
  <c r="U60" i="205"/>
  <c r="W56" i="205"/>
  <c r="W57" i="205" s="1"/>
  <c r="S65" i="206"/>
  <c r="S69" i="206" s="1"/>
  <c r="W65" i="206"/>
  <c r="W69" i="206" s="1"/>
  <c r="S142" i="206"/>
  <c r="T142" i="206" s="1"/>
  <c r="T150" i="206" s="1"/>
  <c r="V102" i="206"/>
  <c r="X102" i="206" s="1"/>
  <c r="W80" i="206"/>
  <c r="S92" i="206"/>
  <c r="U56" i="205"/>
  <c r="U57" i="205" s="1"/>
  <c r="S67" i="205"/>
  <c r="R72" i="205"/>
  <c r="W95" i="206"/>
  <c r="W109" i="206" s="1"/>
  <c r="Y95" i="206"/>
  <c r="Y109" i="206" s="1"/>
  <c r="Y48" i="206"/>
  <c r="Y62" i="206" s="1"/>
  <c r="Y19" i="203"/>
  <c r="S19" i="203"/>
  <c r="T19" i="203" s="1"/>
  <c r="S18" i="203"/>
  <c r="T18" i="203" s="1"/>
  <c r="W18" i="203"/>
  <c r="V22" i="208"/>
  <c r="X22" i="208" s="1"/>
  <c r="Y142" i="206"/>
  <c r="Y150" i="206" s="1"/>
  <c r="W134" i="206"/>
  <c r="U134" i="206"/>
  <c r="U142" i="206"/>
  <c r="U150" i="206" s="1"/>
  <c r="S27" i="206"/>
  <c r="S30" i="206" s="1"/>
  <c r="S80" i="206"/>
  <c r="Y134" i="206"/>
  <c r="Y27" i="206"/>
  <c r="Y30" i="206" s="1"/>
  <c r="U27" i="206"/>
  <c r="U30" i="206" s="1"/>
  <c r="Y80" i="206"/>
  <c r="U80" i="206"/>
  <c r="W93" i="205"/>
  <c r="W88" i="205"/>
  <c r="R95" i="205"/>
  <c r="U93" i="205"/>
  <c r="V18" i="210"/>
  <c r="X18" i="210" s="1"/>
  <c r="W100" i="205"/>
  <c r="U79" i="205"/>
  <c r="V99" i="205"/>
  <c r="X99" i="205" s="1"/>
  <c r="Z99" i="205" s="1"/>
  <c r="AB99" i="205" s="1"/>
  <c r="V22" i="210"/>
  <c r="X22" i="210" s="1"/>
  <c r="V21" i="210"/>
  <c r="X21" i="210" s="1"/>
  <c r="Z21" i="210" s="1"/>
  <c r="V20" i="210"/>
  <c r="X20" i="210" s="1"/>
  <c r="Z20" i="210" s="1"/>
  <c r="S79" i="205"/>
  <c r="S60" i="205"/>
  <c r="S91" i="205"/>
  <c r="W79" i="205"/>
  <c r="U24" i="205"/>
  <c r="T60" i="205"/>
  <c r="U88" i="205"/>
  <c r="T79" i="205"/>
  <c r="S100" i="205"/>
  <c r="W24" i="205"/>
  <c r="V69" i="205"/>
  <c r="X69" i="205" s="1"/>
  <c r="Z69" i="205" s="1"/>
  <c r="AB69" i="205" s="1"/>
  <c r="V70" i="205"/>
  <c r="X70" i="205" s="1"/>
  <c r="Z70" i="205" s="1"/>
  <c r="AB70" i="205" s="1"/>
  <c r="V98" i="205"/>
  <c r="X98" i="205" s="1"/>
  <c r="T100" i="205"/>
  <c r="T74" i="205"/>
  <c r="V74" i="205" s="1"/>
  <c r="X74" i="205" s="1"/>
  <c r="V77" i="205"/>
  <c r="X77" i="205" s="1"/>
  <c r="V78" i="205"/>
  <c r="X78" i="205" s="1"/>
  <c r="Z78" i="205" s="1"/>
  <c r="AB78" i="205" s="1"/>
  <c r="V59" i="205"/>
  <c r="X59" i="205" s="1"/>
  <c r="V68" i="205"/>
  <c r="X68" i="205" s="1"/>
  <c r="Z68" i="205" s="1"/>
  <c r="AB68" i="205" s="1"/>
  <c r="Y139" i="206"/>
  <c r="Y140" i="206" s="1"/>
  <c r="Y32" i="206"/>
  <c r="Y37" i="206" s="1"/>
  <c r="W48" i="206"/>
  <c r="U48" i="206"/>
  <c r="S48" i="206"/>
  <c r="X21" i="208"/>
  <c r="V16" i="208"/>
  <c r="X16" i="208" s="1"/>
  <c r="X17" i="208"/>
  <c r="U32" i="206"/>
  <c r="U37" i="206" s="1"/>
  <c r="U139" i="206"/>
  <c r="U140" i="206" s="1"/>
  <c r="S13" i="206"/>
  <c r="S22" i="206" s="1"/>
  <c r="V78" i="206"/>
  <c r="X78" i="206" s="1"/>
  <c r="W159" i="206"/>
  <c r="S32" i="206"/>
  <c r="S37" i="206" s="1"/>
  <c r="W32" i="206"/>
  <c r="W37" i="206" s="1"/>
  <c r="W139" i="206"/>
  <c r="W140" i="206" s="1"/>
  <c r="S139" i="206"/>
  <c r="S140" i="206" s="1"/>
  <c r="W13" i="206"/>
  <c r="W22" i="206" s="1"/>
  <c r="S159" i="206"/>
  <c r="T120" i="206"/>
  <c r="V120" i="206" s="1"/>
  <c r="X120" i="206" s="1"/>
  <c r="Y13" i="206"/>
  <c r="Y22" i="206" s="1"/>
  <c r="U13" i="206"/>
  <c r="U22" i="206" s="1"/>
  <c r="V143" i="206"/>
  <c r="X143" i="206" s="1"/>
  <c r="V66" i="206"/>
  <c r="X66" i="206" s="1"/>
  <c r="X15" i="206"/>
  <c r="Z15" i="206" s="1"/>
  <c r="X19" i="208"/>
  <c r="X13" i="208"/>
  <c r="V18" i="208"/>
  <c r="X18" i="208" s="1"/>
  <c r="Y159" i="206"/>
  <c r="V146" i="206"/>
  <c r="X146" i="206" s="1"/>
  <c r="V14" i="206"/>
  <c r="X14" i="206" s="1"/>
  <c r="Z14" i="206" s="1"/>
  <c r="V147" i="206"/>
  <c r="X147" i="206" s="1"/>
  <c r="V149" i="206"/>
  <c r="X149" i="206" s="1"/>
  <c r="V148" i="206"/>
  <c r="X148" i="206" s="1"/>
  <c r="V123" i="206"/>
  <c r="X123" i="206" s="1"/>
  <c r="V114" i="206"/>
  <c r="X114" i="206" s="1"/>
  <c r="V17" i="206"/>
  <c r="X17" i="206" s="1"/>
  <c r="Z17" i="206" s="1"/>
  <c r="R91" i="205"/>
  <c r="V82" i="205"/>
  <c r="X82" i="205" s="1"/>
  <c r="Z82" i="205" s="1"/>
  <c r="V42" i="206"/>
  <c r="X42" i="206" s="1"/>
  <c r="Z42" i="206" s="1"/>
  <c r="AB42" i="206" s="1"/>
  <c r="X75" i="206"/>
  <c r="AH158" i="206"/>
  <c r="AI158" i="206" s="1"/>
  <c r="V59" i="206"/>
  <c r="X59" i="206" s="1"/>
  <c r="Z59" i="206" s="1"/>
  <c r="AC59" i="206" s="1"/>
  <c r="V74" i="206"/>
  <c r="X74" i="206" s="1"/>
  <c r="V79" i="206"/>
  <c r="X79" i="206" s="1"/>
  <c r="S24" i="205"/>
  <c r="V42" i="205"/>
  <c r="X42" i="205" s="1"/>
  <c r="Z42" i="205" s="1"/>
  <c r="AB42" i="205" s="1"/>
  <c r="T36" i="205"/>
  <c r="T38" i="205" s="1"/>
  <c r="V17" i="207"/>
  <c r="X17" i="207" s="1"/>
  <c r="V18" i="207"/>
  <c r="X18" i="207" s="1"/>
  <c r="X16" i="207"/>
  <c r="V56" i="206"/>
  <c r="X56" i="206" s="1"/>
  <c r="X29" i="206"/>
  <c r="T24" i="205"/>
  <c r="V22" i="207"/>
  <c r="X22" i="207" s="1"/>
  <c r="V20" i="203"/>
  <c r="X20" i="203" s="1"/>
  <c r="Z20" i="203" s="1"/>
  <c r="AC20" i="203" s="1"/>
  <c r="AH20" i="203" s="1"/>
  <c r="AI20" i="203" s="1"/>
  <c r="V60" i="206"/>
  <c r="X60" i="206" s="1"/>
  <c r="Z60" i="206" s="1"/>
  <c r="V119" i="206"/>
  <c r="V113" i="206"/>
  <c r="T134" i="206"/>
  <c r="V129" i="206"/>
  <c r="X129" i="206" s="1"/>
  <c r="Z129" i="206" s="1"/>
  <c r="V144" i="206"/>
  <c r="X144" i="206" s="1"/>
  <c r="Z144" i="206" s="1"/>
  <c r="V15" i="208"/>
  <c r="X15" i="208" s="1"/>
  <c r="Z15" i="208" s="1"/>
  <c r="V20" i="208"/>
  <c r="X20" i="208" s="1"/>
  <c r="Z20" i="208" s="1"/>
  <c r="V77" i="206"/>
  <c r="X77" i="206" s="1"/>
  <c r="Z77" i="206" s="1"/>
  <c r="S95" i="205"/>
  <c r="T30" i="205"/>
  <c r="T34" i="205" s="1"/>
  <c r="S51" i="205"/>
  <c r="S53" i="205" s="1"/>
  <c r="U51" i="205"/>
  <c r="U53" i="205" s="1"/>
  <c r="W51" i="205"/>
  <c r="W53" i="205" s="1"/>
  <c r="V16" i="210"/>
  <c r="S40" i="206"/>
  <c r="S46" i="206" s="1"/>
  <c r="W40" i="206"/>
  <c r="W46" i="206" s="1"/>
  <c r="Y40" i="206"/>
  <c r="Y46" i="206" s="1"/>
  <c r="S82" i="206"/>
  <c r="S84" i="206" s="1"/>
  <c r="W82" i="206"/>
  <c r="W84" i="206" s="1"/>
  <c r="U82" i="206"/>
  <c r="U84" i="206" s="1"/>
  <c r="Y82" i="206"/>
  <c r="Y84" i="206" s="1"/>
  <c r="W91" i="205"/>
  <c r="V19" i="210"/>
  <c r="X19" i="210" s="1"/>
  <c r="Z19" i="210" s="1"/>
  <c r="T102" i="205"/>
  <c r="S111" i="206"/>
  <c r="S127" i="206" s="1"/>
  <c r="U111" i="206"/>
  <c r="U127" i="206" s="1"/>
  <c r="W111" i="206"/>
  <c r="W127" i="206" s="1"/>
  <c r="Y111" i="206"/>
  <c r="Y127" i="206" s="1"/>
  <c r="V121" i="206"/>
  <c r="R84" i="205"/>
  <c r="S81" i="205"/>
  <c r="S84" i="205" s="1"/>
  <c r="U81" i="205"/>
  <c r="U84" i="205" s="1"/>
  <c r="W81" i="205"/>
  <c r="W84" i="205" s="1"/>
  <c r="T48" i="205"/>
  <c r="T49" i="205" s="1"/>
  <c r="V52" i="205"/>
  <c r="X52" i="205" s="1"/>
  <c r="Z52" i="205" s="1"/>
  <c r="AB52" i="205" s="1"/>
  <c r="V17" i="210"/>
  <c r="X17" i="210" s="1"/>
  <c r="Z17" i="210" s="1"/>
  <c r="T90" i="205"/>
  <c r="T62" i="205"/>
  <c r="S16" i="203"/>
  <c r="W16" i="203"/>
  <c r="U16" i="203"/>
  <c r="Y16" i="203"/>
  <c r="S17" i="203"/>
  <c r="T17" i="203" s="1"/>
  <c r="U17" i="203"/>
  <c r="W17" i="203"/>
  <c r="Y17" i="203"/>
  <c r="V21" i="207"/>
  <c r="X21" i="207" s="1"/>
  <c r="V20" i="207"/>
  <c r="X20" i="207" s="1"/>
  <c r="S11" i="207"/>
  <c r="S42" i="207" s="1"/>
  <c r="U11" i="207"/>
  <c r="U42" i="207" s="1"/>
  <c r="W11" i="207"/>
  <c r="W42" i="207" s="1"/>
  <c r="Y11" i="207"/>
  <c r="Y42" i="207" s="1"/>
  <c r="V19" i="207"/>
  <c r="X19" i="207" s="1"/>
  <c r="X16" i="210" l="1"/>
  <c r="V27" i="210"/>
  <c r="R167" i="206"/>
  <c r="Y167" i="206"/>
  <c r="V12" i="208"/>
  <c r="V30" i="208" s="1"/>
  <c r="Y112" i="205"/>
  <c r="T56" i="205"/>
  <c r="T57" i="205" s="1"/>
  <c r="S57" i="205"/>
  <c r="T41" i="205"/>
  <c r="S45" i="205"/>
  <c r="R112" i="205"/>
  <c r="V93" i="205"/>
  <c r="X93" i="205" s="1"/>
  <c r="Y24" i="203"/>
  <c r="W24" i="203"/>
  <c r="U24" i="203"/>
  <c r="T16" i="203"/>
  <c r="T24" i="203" s="1"/>
  <c r="S24" i="203"/>
  <c r="V18" i="203"/>
  <c r="X18" i="203" s="1"/>
  <c r="Z18" i="203" s="1"/>
  <c r="AC18" i="203" s="1"/>
  <c r="AH18" i="203" s="1"/>
  <c r="AI18" i="203" s="1"/>
  <c r="T16" i="205"/>
  <c r="V17" i="205"/>
  <c r="Z74" i="205"/>
  <c r="X75" i="205"/>
  <c r="Z98" i="205"/>
  <c r="X100" i="205"/>
  <c r="AB82" i="205"/>
  <c r="AC82" i="205"/>
  <c r="AH82" i="205" s="1"/>
  <c r="Z59" i="205"/>
  <c r="X60" i="205"/>
  <c r="Z77" i="205"/>
  <c r="X79" i="205"/>
  <c r="Z23" i="205"/>
  <c r="AC23" i="205" s="1"/>
  <c r="AH23" i="205" s="1"/>
  <c r="X24" i="205"/>
  <c r="Z87" i="205"/>
  <c r="X88" i="205"/>
  <c r="AB17" i="206"/>
  <c r="AC17" i="206"/>
  <c r="AH17" i="206" s="1"/>
  <c r="AC14" i="206"/>
  <c r="AB14" i="206"/>
  <c r="AB15" i="206"/>
  <c r="AC15" i="206"/>
  <c r="AH15" i="206" s="1"/>
  <c r="W62" i="206"/>
  <c r="W167" i="206" s="1"/>
  <c r="X121" i="206"/>
  <c r="Z121" i="206" s="1"/>
  <c r="AC121" i="206" s="1"/>
  <c r="AH121" i="206" s="1"/>
  <c r="X113" i="206"/>
  <c r="Z113" i="206" s="1"/>
  <c r="AC113" i="206" s="1"/>
  <c r="AH113" i="206" s="1"/>
  <c r="X119" i="206"/>
  <c r="Z119" i="206" s="1"/>
  <c r="AC119" i="206" s="1"/>
  <c r="AH119" i="206" s="1"/>
  <c r="U62" i="206"/>
  <c r="U167" i="206" s="1"/>
  <c r="V49" i="206"/>
  <c r="X49" i="206" s="1"/>
  <c r="Z49" i="206" s="1"/>
  <c r="AB49" i="206" s="1"/>
  <c r="V19" i="203"/>
  <c r="X19" i="203" s="1"/>
  <c r="Z19" i="203" s="1"/>
  <c r="AC19" i="203" s="1"/>
  <c r="AH19" i="203" s="1"/>
  <c r="AI19" i="203" s="1"/>
  <c r="V145" i="206"/>
  <c r="X145" i="206" s="1"/>
  <c r="C30" i="68"/>
  <c r="C41" i="68" s="1"/>
  <c r="AC31" i="205"/>
  <c r="AH31" i="205" s="1"/>
  <c r="AI31" i="205" s="1"/>
  <c r="AC43" i="205"/>
  <c r="S150" i="206"/>
  <c r="T95" i="206"/>
  <c r="T109" i="206" s="1"/>
  <c r="T80" i="206"/>
  <c r="T65" i="206"/>
  <c r="T69" i="206" s="1"/>
  <c r="T92" i="206"/>
  <c r="T67" i="205"/>
  <c r="S72" i="205"/>
  <c r="W95" i="205"/>
  <c r="W112" i="205" s="1"/>
  <c r="T27" i="206"/>
  <c r="T30" i="206" s="1"/>
  <c r="T48" i="206"/>
  <c r="T62" i="206" s="1"/>
  <c r="S62" i="206"/>
  <c r="S167" i="206" s="1"/>
  <c r="U95" i="205"/>
  <c r="Z19" i="207"/>
  <c r="AC19" i="207" s="1"/>
  <c r="AH19" i="207" s="1"/>
  <c r="AI19" i="207" s="1"/>
  <c r="Z20" i="207"/>
  <c r="AC20" i="207" s="1"/>
  <c r="AH20" i="207" s="1"/>
  <c r="AI20" i="207" s="1"/>
  <c r="Z21" i="207"/>
  <c r="AC21" i="207" s="1"/>
  <c r="AH21" i="207" s="1"/>
  <c r="AI21" i="207" s="1"/>
  <c r="Z22" i="208"/>
  <c r="AC22" i="208" s="1"/>
  <c r="AH22" i="208" s="1"/>
  <c r="AI22" i="208" s="1"/>
  <c r="Z29" i="206"/>
  <c r="AB29" i="206" s="1"/>
  <c r="Z18" i="207"/>
  <c r="AC18" i="207" s="1"/>
  <c r="AH18" i="207" s="1"/>
  <c r="AI18" i="207" s="1"/>
  <c r="Z17" i="207"/>
  <c r="AC17" i="207" s="1"/>
  <c r="AH17" i="207" s="1"/>
  <c r="AI17" i="207" s="1"/>
  <c r="Z74" i="206"/>
  <c r="AC74" i="206" s="1"/>
  <c r="AH74" i="206" s="1"/>
  <c r="Z114" i="206"/>
  <c r="AB114" i="206" s="1"/>
  <c r="Z123" i="206"/>
  <c r="AB123" i="206" s="1"/>
  <c r="Z149" i="206"/>
  <c r="AC149" i="206" s="1"/>
  <c r="AH149" i="206" s="1"/>
  <c r="Z146" i="206"/>
  <c r="AB146" i="206" s="1"/>
  <c r="Z18" i="208"/>
  <c r="AB18" i="208" s="1"/>
  <c r="Z19" i="208"/>
  <c r="AB19" i="208" s="1"/>
  <c r="Z143" i="206"/>
  <c r="AB143" i="206" s="1"/>
  <c r="Z16" i="208"/>
  <c r="AB16" i="208" s="1"/>
  <c r="Z22" i="210"/>
  <c r="AC22" i="210" s="1"/>
  <c r="AH22" i="210" s="1"/>
  <c r="Z22" i="207"/>
  <c r="AC22" i="207" s="1"/>
  <c r="AH22" i="207" s="1"/>
  <c r="AI22" i="207" s="1"/>
  <c r="Z16" i="207"/>
  <c r="AC16" i="207" s="1"/>
  <c r="AH16" i="207" s="1"/>
  <c r="AI16" i="207" s="1"/>
  <c r="Z79" i="206"/>
  <c r="AB79" i="206" s="1"/>
  <c r="Z75" i="206"/>
  <c r="AB75" i="206" s="1"/>
  <c r="Z148" i="206"/>
  <c r="AB148" i="206" s="1"/>
  <c r="Z147" i="206"/>
  <c r="AC147" i="206" s="1"/>
  <c r="AH147" i="206" s="1"/>
  <c r="Z102" i="206"/>
  <c r="AB102" i="206" s="1"/>
  <c r="Z13" i="208"/>
  <c r="AB13" i="208" s="1"/>
  <c r="Z66" i="206"/>
  <c r="AB66" i="206" s="1"/>
  <c r="Z78" i="206"/>
  <c r="AB78" i="206" s="1"/>
  <c r="Z17" i="208"/>
  <c r="AB17" i="208" s="1"/>
  <c r="Z21" i="208"/>
  <c r="AC21" i="208" s="1"/>
  <c r="AH21" i="208" s="1"/>
  <c r="Z18" i="210"/>
  <c r="AC18" i="210" s="1"/>
  <c r="AH18" i="210" s="1"/>
  <c r="AC99" i="205"/>
  <c r="AH99" i="205" s="1"/>
  <c r="AI99" i="205" s="1"/>
  <c r="AB22" i="210"/>
  <c r="AI22" i="210" s="1"/>
  <c r="T159" i="206"/>
  <c r="V17" i="203"/>
  <c r="X17" i="203" s="1"/>
  <c r="Z17" i="203" s="1"/>
  <c r="AC17" i="203" s="1"/>
  <c r="AH17" i="203" s="1"/>
  <c r="AI17" i="203" s="1"/>
  <c r="T75" i="205"/>
  <c r="U91" i="205"/>
  <c r="U112" i="205" s="1"/>
  <c r="V60" i="205"/>
  <c r="V36" i="205"/>
  <c r="V38" i="205" s="1"/>
  <c r="AC68" i="205"/>
  <c r="AH68" i="205" s="1"/>
  <c r="AI68" i="205" s="1"/>
  <c r="AC78" i="205"/>
  <c r="AH78" i="205" s="1"/>
  <c r="AI78" i="205" s="1"/>
  <c r="V79" i="205"/>
  <c r="T88" i="205"/>
  <c r="V100" i="205"/>
  <c r="T139" i="206"/>
  <c r="T140" i="206" s="1"/>
  <c r="T32" i="206"/>
  <c r="T37" i="206" s="1"/>
  <c r="T13" i="206"/>
  <c r="T22" i="206" s="1"/>
  <c r="V16" i="203"/>
  <c r="Z120" i="206"/>
  <c r="Z56" i="206"/>
  <c r="T81" i="205"/>
  <c r="T84" i="205" s="1"/>
  <c r="T111" i="206"/>
  <c r="T127" i="206" s="1"/>
  <c r="T82" i="206"/>
  <c r="X12" i="208"/>
  <c r="AB17" i="210"/>
  <c r="AC17" i="210"/>
  <c r="AH17" i="210" s="1"/>
  <c r="AB59" i="206"/>
  <c r="AH59" i="206"/>
  <c r="AB21" i="210"/>
  <c r="AC21" i="210"/>
  <c r="AH21" i="210" s="1"/>
  <c r="V75" i="205"/>
  <c r="V30" i="205"/>
  <c r="AB20" i="208"/>
  <c r="AI20" i="208" s="1"/>
  <c r="AC20" i="208"/>
  <c r="AH20" i="208" s="1"/>
  <c r="AB144" i="206"/>
  <c r="AC144" i="206"/>
  <c r="AH144" i="206" s="1"/>
  <c r="V142" i="206"/>
  <c r="V150" i="206" s="1"/>
  <c r="V134" i="206"/>
  <c r="V62" i="205"/>
  <c r="X62" i="205" s="1"/>
  <c r="T64" i="205"/>
  <c r="T91" i="205"/>
  <c r="V90" i="205"/>
  <c r="X90" i="205" s="1"/>
  <c r="AC52" i="205"/>
  <c r="AH52" i="205" s="1"/>
  <c r="AI52" i="205" s="1"/>
  <c r="V48" i="205"/>
  <c r="AC42" i="206"/>
  <c r="AH42" i="206" s="1"/>
  <c r="AI42" i="206" s="1"/>
  <c r="V102" i="205"/>
  <c r="X102" i="205" s="1"/>
  <c r="T103" i="205"/>
  <c r="AB20" i="210"/>
  <c r="AC20" i="210"/>
  <c r="AH20" i="210" s="1"/>
  <c r="AC19" i="210"/>
  <c r="AH19" i="210" s="1"/>
  <c r="AB19" i="210"/>
  <c r="T40" i="206"/>
  <c r="T46" i="206" s="1"/>
  <c r="T51" i="205"/>
  <c r="T53" i="205" s="1"/>
  <c r="T95" i="205"/>
  <c r="AB77" i="206"/>
  <c r="AC77" i="206"/>
  <c r="AH77" i="206" s="1"/>
  <c r="AB15" i="208"/>
  <c r="AC15" i="208"/>
  <c r="AH15" i="208" s="1"/>
  <c r="AB129" i="206"/>
  <c r="AC129" i="206"/>
  <c r="AC60" i="206"/>
  <c r="AH60" i="206" s="1"/>
  <c r="AB60" i="206"/>
  <c r="V24" i="205"/>
  <c r="T11" i="207"/>
  <c r="AB11" i="207"/>
  <c r="Z16" i="210" l="1"/>
  <c r="X27" i="210"/>
  <c r="Z12" i="208"/>
  <c r="Z30" i="208" s="1"/>
  <c r="X30" i="208"/>
  <c r="V56" i="205"/>
  <c r="V57" i="205" s="1"/>
  <c r="S112" i="205"/>
  <c r="X48" i="205"/>
  <c r="X49" i="205" s="1"/>
  <c r="V49" i="205"/>
  <c r="X30" i="205"/>
  <c r="X34" i="205" s="1"/>
  <c r="V34" i="205"/>
  <c r="V16" i="205"/>
  <c r="T21" i="205"/>
  <c r="V41" i="205"/>
  <c r="T45" i="205"/>
  <c r="X95" i="205"/>
  <c r="Z93" i="205"/>
  <c r="AB93" i="205" s="1"/>
  <c r="AB95" i="205" s="1"/>
  <c r="X16" i="203"/>
  <c r="V24" i="203"/>
  <c r="AI82" i="205"/>
  <c r="AB42" i="207"/>
  <c r="AI15" i="208"/>
  <c r="AH129" i="206"/>
  <c r="AH134" i="206" s="1"/>
  <c r="AC134" i="206"/>
  <c r="AI129" i="206"/>
  <c r="AI134" i="206" s="1"/>
  <c r="AB134" i="206"/>
  <c r="AI77" i="206"/>
  <c r="AI59" i="206"/>
  <c r="AI15" i="206"/>
  <c r="AI17" i="206"/>
  <c r="AH14" i="206"/>
  <c r="AI60" i="206"/>
  <c r="AH43" i="205"/>
  <c r="X17" i="205"/>
  <c r="AI21" i="210"/>
  <c r="AI20" i="210"/>
  <c r="AI19" i="210"/>
  <c r="AI17" i="210"/>
  <c r="Z102" i="205"/>
  <c r="X103" i="205"/>
  <c r="Z48" i="205"/>
  <c r="Z49" i="205" s="1"/>
  <c r="Z62" i="205"/>
  <c r="X64" i="205"/>
  <c r="Z90" i="205"/>
  <c r="X91" i="205"/>
  <c r="Z30" i="205"/>
  <c r="Z34" i="205" s="1"/>
  <c r="X36" i="205"/>
  <c r="X38" i="205" s="1"/>
  <c r="AB87" i="205"/>
  <c r="AB88" i="205" s="1"/>
  <c r="Z88" i="205"/>
  <c r="AB23" i="205"/>
  <c r="AB24" i="205" s="1"/>
  <c r="Z24" i="205"/>
  <c r="Z79" i="205"/>
  <c r="AB77" i="205"/>
  <c r="AB79" i="205" s="1"/>
  <c r="AB59" i="205"/>
  <c r="AB60" i="205" s="1"/>
  <c r="Z60" i="205"/>
  <c r="Z100" i="205"/>
  <c r="AB98" i="205"/>
  <c r="AB100" i="205" s="1"/>
  <c r="Z75" i="205"/>
  <c r="AB74" i="205"/>
  <c r="AB75" i="205" s="1"/>
  <c r="T42" i="207"/>
  <c r="V11" i="207"/>
  <c r="V42" i="207" s="1"/>
  <c r="AC56" i="206"/>
  <c r="AH56" i="206" s="1"/>
  <c r="AB56" i="206"/>
  <c r="AB121" i="206"/>
  <c r="AI121" i="206" s="1"/>
  <c r="AB113" i="206"/>
  <c r="AI113" i="206" s="1"/>
  <c r="AB119" i="206"/>
  <c r="AI119" i="206" s="1"/>
  <c r="V32" i="206"/>
  <c r="V37" i="206" s="1"/>
  <c r="AC17" i="208"/>
  <c r="AH17" i="208" s="1"/>
  <c r="AI17" i="208" s="1"/>
  <c r="Z145" i="206"/>
  <c r="AC33" i="205"/>
  <c r="AC42" i="205"/>
  <c r="AH42" i="205" s="1"/>
  <c r="AI42" i="205" s="1"/>
  <c r="AC19" i="208"/>
  <c r="AH19" i="208" s="1"/>
  <c r="AI19" i="208" s="1"/>
  <c r="AC66" i="206"/>
  <c r="AH66" i="206" s="1"/>
  <c r="AI66" i="206" s="1"/>
  <c r="V27" i="206"/>
  <c r="V30" i="206" s="1"/>
  <c r="V95" i="206"/>
  <c r="V109" i="206" s="1"/>
  <c r="V80" i="206"/>
  <c r="V65" i="206"/>
  <c r="V69" i="206" s="1"/>
  <c r="AC18" i="208"/>
  <c r="AH18" i="208" s="1"/>
  <c r="AI18" i="208" s="1"/>
  <c r="AC29" i="206"/>
  <c r="AH29" i="206" s="1"/>
  <c r="AI29" i="206" s="1"/>
  <c r="AC114" i="206"/>
  <c r="AB147" i="206"/>
  <c r="AI147" i="206" s="1"/>
  <c r="AC148" i="206"/>
  <c r="AH148" i="206" s="1"/>
  <c r="AI148" i="206" s="1"/>
  <c r="V92" i="206"/>
  <c r="V48" i="206"/>
  <c r="V62" i="206" s="1"/>
  <c r="T72" i="205"/>
  <c r="V67" i="205"/>
  <c r="X67" i="205" s="1"/>
  <c r="AC78" i="206"/>
  <c r="AH78" i="206" s="1"/>
  <c r="AI78" i="206" s="1"/>
  <c r="AC123" i="206"/>
  <c r="AH123" i="206" s="1"/>
  <c r="AI123" i="206" s="1"/>
  <c r="AB149" i="206"/>
  <c r="AI149" i="206" s="1"/>
  <c r="AC16" i="208"/>
  <c r="AH16" i="208" s="1"/>
  <c r="AI16" i="208" s="1"/>
  <c r="AC146" i="206"/>
  <c r="AH146" i="206" s="1"/>
  <c r="AI146" i="206" s="1"/>
  <c r="AC70" i="205"/>
  <c r="AH70" i="205" s="1"/>
  <c r="AI70" i="205" s="1"/>
  <c r="AC143" i="206"/>
  <c r="AH143" i="206" s="1"/>
  <c r="AI143" i="206" s="1"/>
  <c r="V82" i="206"/>
  <c r="V84" i="206" s="1"/>
  <c r="T84" i="206"/>
  <c r="T167" i="206" s="1"/>
  <c r="AC75" i="206"/>
  <c r="AH75" i="206" s="1"/>
  <c r="AI75" i="206" s="1"/>
  <c r="AC69" i="205"/>
  <c r="AH69" i="205" s="1"/>
  <c r="AI69" i="205" s="1"/>
  <c r="AB18" i="210"/>
  <c r="AI18" i="210" s="1"/>
  <c r="AC102" i="206"/>
  <c r="AH102" i="206" s="1"/>
  <c r="AI102" i="206" s="1"/>
  <c r="AB74" i="206"/>
  <c r="AI74" i="206" s="1"/>
  <c r="AC79" i="206"/>
  <c r="AH79" i="206" s="1"/>
  <c r="AI79" i="206" s="1"/>
  <c r="AC49" i="206"/>
  <c r="AH49" i="206" s="1"/>
  <c r="AI49" i="206" s="1"/>
  <c r="AB21" i="208"/>
  <c r="AI21" i="208" s="1"/>
  <c r="AC13" i="208"/>
  <c r="AH13" i="208" s="1"/>
  <c r="AI13" i="208" s="1"/>
  <c r="V159" i="206"/>
  <c r="V139" i="206"/>
  <c r="V140" i="206" s="1"/>
  <c r="AC87" i="205"/>
  <c r="V88" i="205"/>
  <c r="V13" i="206"/>
  <c r="V22" i="206" s="1"/>
  <c r="V111" i="206"/>
  <c r="V127" i="206" s="1"/>
  <c r="V81" i="205"/>
  <c r="X81" i="205" s="1"/>
  <c r="AI144" i="206"/>
  <c r="V95" i="205"/>
  <c r="V40" i="206"/>
  <c r="V46" i="206" s="1"/>
  <c r="V103" i="205"/>
  <c r="V64" i="205"/>
  <c r="V51" i="205"/>
  <c r="V91" i="205"/>
  <c r="X134" i="206"/>
  <c r="X142" i="206"/>
  <c r="X150" i="206" s="1"/>
  <c r="Z27" i="210" l="1"/>
  <c r="AC16" i="210"/>
  <c r="AB16" i="210"/>
  <c r="V167" i="206"/>
  <c r="X56" i="205"/>
  <c r="X57" i="205" s="1"/>
  <c r="Z95" i="205"/>
  <c r="T112" i="205"/>
  <c r="X51" i="205"/>
  <c r="X53" i="205" s="1"/>
  <c r="V53" i="205"/>
  <c r="X41" i="205"/>
  <c r="V45" i="205"/>
  <c r="X16" i="205"/>
  <c r="V21" i="205"/>
  <c r="Z16" i="203"/>
  <c r="X24" i="203"/>
  <c r="AI56" i="206"/>
  <c r="AH80" i="206"/>
  <c r="AC80" i="206"/>
  <c r="AB80" i="206"/>
  <c r="AL134" i="206"/>
  <c r="AH114" i="206"/>
  <c r="AI14" i="206"/>
  <c r="AI80" i="206"/>
  <c r="AI43" i="205"/>
  <c r="Z17" i="205"/>
  <c r="AH33" i="205"/>
  <c r="Z36" i="205"/>
  <c r="Z38" i="205" s="1"/>
  <c r="Z81" i="205"/>
  <c r="X84" i="205"/>
  <c r="Z67" i="205"/>
  <c r="X72" i="205"/>
  <c r="AI23" i="205"/>
  <c r="AI24" i="205" s="1"/>
  <c r="AB30" i="205"/>
  <c r="AB34" i="205" s="1"/>
  <c r="Z91" i="205"/>
  <c r="AB90" i="205"/>
  <c r="AB91" i="205" s="1"/>
  <c r="AB62" i="205"/>
  <c r="AB64" i="205" s="1"/>
  <c r="Z64" i="205"/>
  <c r="AB48" i="205"/>
  <c r="AB49" i="205" s="1"/>
  <c r="Z103" i="205"/>
  <c r="AB102" i="205"/>
  <c r="AB103" i="205" s="1"/>
  <c r="X32" i="206"/>
  <c r="AC145" i="206"/>
  <c r="AB145" i="206"/>
  <c r="X95" i="206"/>
  <c r="X109" i="206" s="1"/>
  <c r="X80" i="206"/>
  <c r="X48" i="206"/>
  <c r="Z48" i="206" s="1"/>
  <c r="Z62" i="206" s="1"/>
  <c r="X27" i="206"/>
  <c r="Z27" i="206" s="1"/>
  <c r="Z30" i="206" s="1"/>
  <c r="X65" i="206"/>
  <c r="X69" i="206" s="1"/>
  <c r="AI56" i="207"/>
  <c r="X92" i="206"/>
  <c r="V72" i="205"/>
  <c r="X82" i="206"/>
  <c r="Z82" i="206" s="1"/>
  <c r="Z142" i="206"/>
  <c r="Z150" i="206" s="1"/>
  <c r="Z134" i="206"/>
  <c r="X139" i="206"/>
  <c r="X140" i="206" s="1"/>
  <c r="V84" i="205"/>
  <c r="X111" i="206"/>
  <c r="X127" i="206" s="1"/>
  <c r="X13" i="206"/>
  <c r="X22" i="206" s="1"/>
  <c r="AH87" i="205"/>
  <c r="AI87" i="205" s="1"/>
  <c r="AI88" i="205" s="1"/>
  <c r="AC98" i="205"/>
  <c r="AC100" i="205" s="1"/>
  <c r="AC59" i="205"/>
  <c r="AC77" i="205"/>
  <c r="AB120" i="206"/>
  <c r="AC120" i="206"/>
  <c r="X11" i="207"/>
  <c r="X42" i="207" s="1"/>
  <c r="AC93" i="205"/>
  <c r="X40" i="206"/>
  <c r="X46" i="206" s="1"/>
  <c r="AB12" i="208"/>
  <c r="AB30" i="208" s="1"/>
  <c r="AC12" i="208"/>
  <c r="AC30" i="208" s="1"/>
  <c r="AC74" i="205"/>
  <c r="AB27" i="210" l="1"/>
  <c r="AH16" i="210"/>
  <c r="AH27" i="210" s="1"/>
  <c r="AC27" i="210"/>
  <c r="Z32" i="206"/>
  <c r="Z37" i="206" s="1"/>
  <c r="X37" i="206"/>
  <c r="Z56" i="205"/>
  <c r="Z57" i="205" s="1"/>
  <c r="AC36" i="205"/>
  <c r="AC38" i="205" s="1"/>
  <c r="Z16" i="205"/>
  <c r="X21" i="205"/>
  <c r="X45" i="205"/>
  <c r="Z41" i="205"/>
  <c r="Z51" i="205"/>
  <c r="Z53" i="205" s="1"/>
  <c r="V112" i="205"/>
  <c r="X30" i="206"/>
  <c r="AL80" i="206"/>
  <c r="AC16" i="203"/>
  <c r="AC24" i="203" s="1"/>
  <c r="Z24" i="203"/>
  <c r="AI114" i="206"/>
  <c r="AC17" i="205"/>
  <c r="AB17" i="205"/>
  <c r="AI33" i="205"/>
  <c r="AB67" i="205"/>
  <c r="AB72" i="205" s="1"/>
  <c r="Z72" i="205"/>
  <c r="Z84" i="205"/>
  <c r="AB81" i="205"/>
  <c r="AB84" i="205" s="1"/>
  <c r="AB36" i="205"/>
  <c r="AB38" i="205" s="1"/>
  <c r="AB51" i="205"/>
  <c r="AB53" i="205" s="1"/>
  <c r="Z84" i="206"/>
  <c r="AB82" i="206"/>
  <c r="Z40" i="206"/>
  <c r="Z46" i="206" s="1"/>
  <c r="AH145" i="206"/>
  <c r="Z80" i="206"/>
  <c r="Z95" i="206"/>
  <c r="AC95" i="206" s="1"/>
  <c r="AC109" i="206" s="1"/>
  <c r="AB27" i="206"/>
  <c r="Z65" i="206"/>
  <c r="Z69" i="206" s="1"/>
  <c r="X62" i="206"/>
  <c r="AC27" i="206"/>
  <c r="AC30" i="206" s="1"/>
  <c r="X84" i="206"/>
  <c r="Z92" i="206"/>
  <c r="Z139" i="206"/>
  <c r="Z140" i="206" s="1"/>
  <c r="Z13" i="206"/>
  <c r="Z11" i="207"/>
  <c r="Z42" i="207" s="1"/>
  <c r="Z111" i="206"/>
  <c r="Z127" i="206" s="1"/>
  <c r="X159" i="206"/>
  <c r="Z159" i="206"/>
  <c r="AH59" i="205"/>
  <c r="AC60" i="205"/>
  <c r="AH98" i="205"/>
  <c r="AH100" i="205" s="1"/>
  <c r="AL100" i="205" s="1"/>
  <c r="AH77" i="205"/>
  <c r="AH79" i="205" s="1"/>
  <c r="AL79" i="205" s="1"/>
  <c r="AC79" i="205"/>
  <c r="AC48" i="206"/>
  <c r="AC62" i="206" s="1"/>
  <c r="AB48" i="206"/>
  <c r="AH120" i="206"/>
  <c r="AI120" i="206" s="1"/>
  <c r="AC30" i="205"/>
  <c r="AC34" i="205" s="1"/>
  <c r="AC82" i="206"/>
  <c r="AC84" i="206" s="1"/>
  <c r="AH36" i="205"/>
  <c r="AH38" i="205" s="1"/>
  <c r="AH74" i="205"/>
  <c r="AC75" i="205"/>
  <c r="AC102" i="205"/>
  <c r="AH93" i="205"/>
  <c r="AI93" i="205" s="1"/>
  <c r="AI95" i="205" s="1"/>
  <c r="AH24" i="205"/>
  <c r="AL24" i="205" s="1"/>
  <c r="AC24" i="205"/>
  <c r="AC90" i="205"/>
  <c r="AB142" i="206"/>
  <c r="AB150" i="206" s="1"/>
  <c r="AC142" i="206"/>
  <c r="AC150" i="206" s="1"/>
  <c r="AC81" i="205"/>
  <c r="AC84" i="205" s="1"/>
  <c r="AC48" i="205"/>
  <c r="AC49" i="205" s="1"/>
  <c r="AH12" i="208"/>
  <c r="AH30" i="208" s="1"/>
  <c r="AL30" i="208" s="1"/>
  <c r="AC62" i="205"/>
  <c r="AC64" i="205" s="1"/>
  <c r="AI16" i="210" l="1"/>
  <c r="AI27" i="210" s="1"/>
  <c r="AC56" i="205"/>
  <c r="AC57" i="205" s="1"/>
  <c r="AC32" i="206"/>
  <c r="AC37" i="206" s="1"/>
  <c r="AB32" i="206"/>
  <c r="AB37" i="206" s="1"/>
  <c r="X167" i="206"/>
  <c r="AH56" i="205"/>
  <c r="AH57" i="205" s="1"/>
  <c r="AL57" i="205" s="1"/>
  <c r="AB56" i="205"/>
  <c r="AB57" i="205" s="1"/>
  <c r="X112" i="205"/>
  <c r="Z45" i="205"/>
  <c r="AB41" i="205"/>
  <c r="AC41" i="205"/>
  <c r="Z21" i="205"/>
  <c r="AB16" i="205"/>
  <c r="AC16" i="205"/>
  <c r="Z109" i="206"/>
  <c r="AH16" i="203"/>
  <c r="AH24" i="203" s="1"/>
  <c r="AL38" i="205"/>
  <c r="AI12" i="208"/>
  <c r="AI30" i="208" s="1"/>
  <c r="AB84" i="206"/>
  <c r="AB62" i="206"/>
  <c r="AB30" i="206"/>
  <c r="AH17" i="205"/>
  <c r="AK27" i="210"/>
  <c r="AI77" i="205"/>
  <c r="AI79" i="205" s="1"/>
  <c r="AI98" i="205"/>
  <c r="AI100" i="205" s="1"/>
  <c r="AH60" i="205"/>
  <c r="AL60" i="205" s="1"/>
  <c r="AI59" i="205"/>
  <c r="AI60" i="205" s="1"/>
  <c r="AH75" i="205"/>
  <c r="AL75" i="205" s="1"/>
  <c r="AI74" i="205"/>
  <c r="AI36" i="205"/>
  <c r="AI38" i="205" s="1"/>
  <c r="AI56" i="205"/>
  <c r="AI57" i="205" s="1"/>
  <c r="AC139" i="206"/>
  <c r="AC140" i="206" s="1"/>
  <c r="AB139" i="206"/>
  <c r="AB140" i="206" s="1"/>
  <c r="AB40" i="206"/>
  <c r="AB46" i="206" s="1"/>
  <c r="AI145" i="206"/>
  <c r="AB95" i="206"/>
  <c r="AC65" i="206"/>
  <c r="AC69" i="206" s="1"/>
  <c r="AH27" i="206"/>
  <c r="AH30" i="206" s="1"/>
  <c r="AB65" i="206"/>
  <c r="Z22" i="206"/>
  <c r="AB13" i="206"/>
  <c r="AC67" i="205"/>
  <c r="AC72" i="205" s="1"/>
  <c r="AH95" i="206"/>
  <c r="AH109" i="206" s="1"/>
  <c r="AB159" i="206"/>
  <c r="AC159" i="206"/>
  <c r="AC13" i="206"/>
  <c r="AC22" i="206" s="1"/>
  <c r="AC111" i="206"/>
  <c r="AC127" i="206" s="1"/>
  <c r="AB111" i="206"/>
  <c r="AH88" i="205"/>
  <c r="AL88" i="205" s="1"/>
  <c r="AC88" i="205"/>
  <c r="AH48" i="206"/>
  <c r="AH62" i="206" s="1"/>
  <c r="AC11" i="207"/>
  <c r="AC42" i="207" s="1"/>
  <c r="AH48" i="205"/>
  <c r="AH90" i="205"/>
  <c r="AC91" i="205"/>
  <c r="AC103" i="205"/>
  <c r="AH102" i="205"/>
  <c r="AH82" i="206"/>
  <c r="AH84" i="206" s="1"/>
  <c r="AH30" i="205"/>
  <c r="AH62" i="205"/>
  <c r="AH64" i="205" s="1"/>
  <c r="AL64" i="205" s="1"/>
  <c r="AC40" i="206"/>
  <c r="AC46" i="206" s="1"/>
  <c r="AC95" i="205"/>
  <c r="AH81" i="205"/>
  <c r="AH84" i="205" s="1"/>
  <c r="AH142" i="206"/>
  <c r="AH150" i="206" s="1"/>
  <c r="AH32" i="206"/>
  <c r="AH37" i="206" s="1"/>
  <c r="AC51" i="205"/>
  <c r="AC53" i="205" s="1"/>
  <c r="AC167" i="206" l="1"/>
  <c r="Z167" i="206"/>
  <c r="Z112" i="205"/>
  <c r="AH16" i="205"/>
  <c r="AH21" i="205" s="1"/>
  <c r="AC21" i="205"/>
  <c r="AB45" i="205"/>
  <c r="AH34" i="205"/>
  <c r="AL34" i="205" s="1"/>
  <c r="AH49" i="205"/>
  <c r="AL49" i="205" s="1"/>
  <c r="AB21" i="205"/>
  <c r="AH41" i="205"/>
  <c r="AH45" i="205" s="1"/>
  <c r="AC45" i="205"/>
  <c r="AI16" i="203"/>
  <c r="AI24" i="203" s="1"/>
  <c r="AL84" i="205"/>
  <c r="AB22" i="206"/>
  <c r="AB127" i="206"/>
  <c r="AI95" i="206"/>
  <c r="AI109" i="206" s="1"/>
  <c r="AB109" i="206"/>
  <c r="AL109" i="206" s="1"/>
  <c r="AL84" i="206"/>
  <c r="AI82" i="206"/>
  <c r="AI84" i="206" s="1"/>
  <c r="AB69" i="206"/>
  <c r="AL62" i="206"/>
  <c r="AI48" i="206"/>
  <c r="AI62" i="206" s="1"/>
  <c r="AL37" i="206"/>
  <c r="AI32" i="206"/>
  <c r="AI37" i="206" s="1"/>
  <c r="AL30" i="206"/>
  <c r="AI27" i="206"/>
  <c r="AI30" i="206" s="1"/>
  <c r="AI17" i="205"/>
  <c r="AI30" i="205"/>
  <c r="AI34" i="205" s="1"/>
  <c r="AH91" i="205"/>
  <c r="AL91" i="205" s="1"/>
  <c r="AI90" i="205"/>
  <c r="AI91" i="205" s="1"/>
  <c r="AI81" i="205"/>
  <c r="AI84" i="205" s="1"/>
  <c r="AI62" i="205"/>
  <c r="AI64" i="205" s="1"/>
  <c r="AH103" i="205"/>
  <c r="AL103" i="205" s="1"/>
  <c r="AI102" i="205"/>
  <c r="AI103" i="205" s="1"/>
  <c r="AI48" i="205"/>
  <c r="AI49" i="205" s="1"/>
  <c r="AH65" i="206"/>
  <c r="AH69" i="206" s="1"/>
  <c r="AH67" i="205"/>
  <c r="AH72" i="205" s="1"/>
  <c r="AL72" i="205" s="1"/>
  <c r="AH139" i="206"/>
  <c r="AH140" i="206" s="1"/>
  <c r="AH159" i="206"/>
  <c r="AL159" i="206" s="1"/>
  <c r="AH111" i="206"/>
  <c r="AH127" i="206" s="1"/>
  <c r="AH13" i="206"/>
  <c r="AH22" i="206" s="1"/>
  <c r="AH11" i="207"/>
  <c r="AI75" i="205"/>
  <c r="AH51" i="205"/>
  <c r="AH95" i="205"/>
  <c r="AL95" i="205" s="1"/>
  <c r="AH40" i="206"/>
  <c r="AH46" i="206" s="1"/>
  <c r="AI142" i="206"/>
  <c r="AI150" i="206" s="1"/>
  <c r="AL127" i="206" l="1"/>
  <c r="AB167" i="206"/>
  <c r="AH167" i="206"/>
  <c r="AB112" i="205"/>
  <c r="AH53" i="205"/>
  <c r="AL53" i="205" s="1"/>
  <c r="AL21" i="205"/>
  <c r="AI16" i="205"/>
  <c r="AI21" i="205" s="1"/>
  <c r="AI41" i="205"/>
  <c r="AI45" i="205" s="1"/>
  <c r="AC112" i="205"/>
  <c r="AL45" i="205"/>
  <c r="AH112" i="205"/>
  <c r="AL22" i="206"/>
  <c r="AI65" i="206"/>
  <c r="AI69" i="206" s="1"/>
  <c r="AI111" i="206"/>
  <c r="AI127" i="206" s="1"/>
  <c r="AH42" i="207"/>
  <c r="AL42" i="207" s="1"/>
  <c r="AI11" i="207"/>
  <c r="AL140" i="206"/>
  <c r="AI13" i="206"/>
  <c r="AI22" i="206" s="1"/>
  <c r="AL46" i="206"/>
  <c r="AI139" i="206"/>
  <c r="AI140" i="206" s="1"/>
  <c r="AL69" i="206"/>
  <c r="AI40" i="206"/>
  <c r="AI46" i="206" s="1"/>
  <c r="AI51" i="205"/>
  <c r="AI53" i="205" s="1"/>
  <c r="AI67" i="205"/>
  <c r="AI72" i="205" s="1"/>
  <c r="AI112" i="205" s="1"/>
  <c r="AL24" i="203"/>
  <c r="AL112" i="205" l="1"/>
  <c r="AI42" i="207"/>
  <c r="D45" i="210" s="1"/>
  <c r="AL167" i="206"/>
  <c r="AI159" i="206"/>
  <c r="AI167" i="206" s="1"/>
  <c r="D43" i="210" l="1"/>
  <c r="AI57" i="207"/>
  <c r="AI58" i="207" s="1"/>
  <c r="D47" i="210" l="1"/>
  <c r="E43" i="210"/>
  <c r="AJ53" i="210"/>
  <c r="AI54" i="207"/>
</calcChain>
</file>

<file path=xl/sharedStrings.xml><?xml version="1.0" encoding="utf-8"?>
<sst xmlns="http://schemas.openxmlformats.org/spreadsheetml/2006/main" count="1110" uniqueCount="554">
  <si>
    <t>TOTAL</t>
  </si>
  <si>
    <t>%</t>
  </si>
  <si>
    <t>P E R C E P C I O N E S</t>
  </si>
  <si>
    <t xml:space="preserve">D E D U C C I O N E S </t>
  </si>
  <si>
    <t>I.S.P.T.</t>
  </si>
  <si>
    <t>I.M.S.S.</t>
  </si>
  <si>
    <t xml:space="preserve">A </t>
  </si>
  <si>
    <t>PAGAR</t>
  </si>
  <si>
    <t>SUBSIDIO</t>
  </si>
  <si>
    <t>Sueldo</t>
  </si>
  <si>
    <t>Total</t>
  </si>
  <si>
    <t>CALCULO MENSUAL DE I.S.P.T.</t>
  </si>
  <si>
    <t>I   S   R</t>
  </si>
  <si>
    <t xml:space="preserve">    INGRESOS  ACUMULABLES  </t>
  </si>
  <si>
    <t>T   A   R   I   F   A</t>
  </si>
  <si>
    <t/>
  </si>
  <si>
    <t xml:space="preserve">    BASE  GRAVABLE</t>
  </si>
  <si>
    <t>L. I.</t>
  </si>
  <si>
    <t>C. F.</t>
  </si>
  <si>
    <t>DE....A</t>
  </si>
  <si>
    <t xml:space="preserve">    EXCEDENTE  DEL  LIMITE  INFERIOR</t>
  </si>
  <si>
    <t xml:space="preserve">    IMPUESTO  MARGINAL</t>
  </si>
  <si>
    <t xml:space="preserve">    I S R   A   CARGO </t>
  </si>
  <si>
    <t xml:space="preserve">                                                               I M P U E S T O      </t>
  </si>
  <si>
    <t>NOTA :  ESTE  CALCULO  ESTARA  VIGENTE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</si>
  <si>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</si>
  <si>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</si>
  <si>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</si>
  <si>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</si>
  <si>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</si>
  <si>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</si>
  <si>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</si>
  <si>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</si>
  <si>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</si>
  <si>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</si>
  <si>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</si>
  <si>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</si>
  <si>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</si>
  <si>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</si>
  <si>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</si>
  <si>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</si>
  <si>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</si>
  <si>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</si>
  <si>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</si>
  <si>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Trab.</t>
  </si>
  <si>
    <t>diario</t>
  </si>
  <si>
    <t>Bono por</t>
  </si>
  <si>
    <t>Puntualidad</t>
  </si>
  <si>
    <t>Horas</t>
  </si>
  <si>
    <t>Extras</t>
  </si>
  <si>
    <t>Otros</t>
  </si>
  <si>
    <t>Gravados</t>
  </si>
  <si>
    <t>Exentos</t>
  </si>
  <si>
    <t>total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</si>
  <si>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</si>
  <si>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</si>
  <si>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</si>
  <si>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</si>
  <si>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</si>
  <si>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</si>
  <si>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</si>
  <si>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</si>
  <si>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</si>
  <si>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</si>
  <si>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</si>
  <si>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</si>
  <si>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t>Gravadas</t>
  </si>
  <si>
    <t>Deduc.</t>
  </si>
  <si>
    <t>T O T A L E S</t>
  </si>
  <si>
    <t>CONVERSION DE TABLAS A QUINCENALES</t>
  </si>
  <si>
    <t>Quincenal</t>
  </si>
  <si>
    <t>( Estas tablas se actualizan si la inflacion supera el 10% de Inflacion )</t>
  </si>
  <si>
    <t>Infonavit</t>
  </si>
  <si>
    <t>Comisiones</t>
  </si>
  <si>
    <t>Fondo de</t>
  </si>
  <si>
    <t>Ahorro</t>
  </si>
  <si>
    <t>Asistencia</t>
  </si>
  <si>
    <t xml:space="preserve">                             D A T O S      Q U I N C E N A L E S :    </t>
  </si>
  <si>
    <t>Nombre del Trabajador</t>
  </si>
  <si>
    <t>AL EMPLEO</t>
  </si>
  <si>
    <t>I.S.R. BRUTO</t>
  </si>
  <si>
    <t xml:space="preserve">   SUBIDIO AL EMPLEO POR ENTREGAR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</si>
  <si>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</si>
  <si>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>SUBSIDO AL EMPLEO</t>
  </si>
  <si>
    <t>MENSUAL</t>
  </si>
  <si>
    <t>Subsidio al</t>
  </si>
  <si>
    <t>Empleo</t>
  </si>
  <si>
    <t>Subsidio</t>
  </si>
  <si>
    <t>SUBSIDIO AL</t>
  </si>
  <si>
    <t>EMPLEO</t>
  </si>
  <si>
    <t xml:space="preserve">                                                                 S U B S I D I O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</si>
  <si>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</si>
  <si>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TABLAS DE TARIFA Y SUBSIDIO AL EMPLEO PARA CALCULO DE I.S.P.T.</t>
  </si>
  <si>
    <t xml:space="preserve">                                     </t>
  </si>
  <si>
    <r>
      <t>o</t>
    </r>
    <r>
      <rPr>
        <sz val="10"/>
        <color indexed="10"/>
        <rFont val="Arial"/>
        <family val="2"/>
      </rPr>
      <t xml:space="preserve"> (A Favor)</t>
    </r>
  </si>
  <si>
    <t>EJERCICIO 2018</t>
  </si>
  <si>
    <t>TABLAS PUBLICADAS EL 29 DE DICIEMBRE DE 2017</t>
  </si>
  <si>
    <t>NOMBRE EMPRESA</t>
  </si>
  <si>
    <t>NOMBRE DE LA EMPRESA</t>
  </si>
  <si>
    <t>Prestamos</t>
  </si>
  <si>
    <t>F I R M A</t>
  </si>
  <si>
    <t>NOMBRAMIENTO</t>
  </si>
  <si>
    <t xml:space="preserve"> </t>
  </si>
  <si>
    <t xml:space="preserve">                   PRESIDENTE MUNICIPAL</t>
  </si>
  <si>
    <t xml:space="preserve">       ENC. DE LA HACIENDA PUBLICA</t>
  </si>
  <si>
    <t>PENSIONADOS</t>
  </si>
  <si>
    <t>PENSIONADO</t>
  </si>
  <si>
    <t xml:space="preserve">                   BASE</t>
  </si>
  <si>
    <t>PRESIDENCIA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</si>
  <si>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</si>
  <si>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</si>
  <si>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</si>
  <si>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</si>
  <si>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</si>
  <si>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</si>
  <si>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</si>
  <si>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</si>
  <si>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REGISTRO CIVIL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</si>
  <si>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</si>
  <si>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</si>
  <si>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</si>
  <si>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</si>
  <si>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</si>
  <si>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</si>
  <si>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</si>
  <si>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</si>
  <si>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</si>
  <si>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</si>
  <si>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</si>
  <si>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</si>
  <si>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</si>
  <si>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</si>
  <si>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</si>
  <si>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</si>
  <si>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</si>
  <si>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</si>
  <si>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</si>
  <si>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</si>
  <si>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</si>
  <si>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 xml:space="preserve">         EVENTUALES</t>
  </si>
  <si>
    <t xml:space="preserve">Secretaria </t>
  </si>
  <si>
    <t>Cuenta Pública</t>
  </si>
  <si>
    <t>Encargado</t>
  </si>
  <si>
    <t>Chofer Camión Basura</t>
  </si>
  <si>
    <t>Mtto. Campo Futbol</t>
  </si>
  <si>
    <t>Aseo Río</t>
  </si>
  <si>
    <t>Velador</t>
  </si>
  <si>
    <t>PADRON Y LICENCIAS</t>
  </si>
  <si>
    <t>Fontanero</t>
  </si>
  <si>
    <t>Enc. Bomba</t>
  </si>
  <si>
    <t>Mtto. Parque</t>
  </si>
  <si>
    <t>Aseo</t>
  </si>
  <si>
    <t>Enc. Limp. Áreas verdes</t>
  </si>
  <si>
    <t>Matancero</t>
  </si>
  <si>
    <t xml:space="preserve">     SEGURIDAD PUBLICA</t>
  </si>
  <si>
    <t>Policía de Línea</t>
  </si>
  <si>
    <t xml:space="preserve">        PROTECCION CIVIL</t>
  </si>
  <si>
    <t>Barrendera</t>
  </si>
  <si>
    <t>Enc. Jardines</t>
  </si>
  <si>
    <t>Enc. De bomba</t>
  </si>
  <si>
    <t>Enc bomba Chora</t>
  </si>
  <si>
    <t>Sub- Director</t>
  </si>
  <si>
    <t>Médico Municipal</t>
  </si>
  <si>
    <t>Chofer Retro</t>
  </si>
  <si>
    <t>SISTEMAS</t>
  </si>
  <si>
    <t>J. Jesús Sánchez</t>
  </si>
  <si>
    <t>DEPORTES</t>
  </si>
  <si>
    <t>PROM. ECONOMICA Y PART. CIUDADANA</t>
  </si>
  <si>
    <t xml:space="preserve">         DIETAS</t>
  </si>
  <si>
    <t>Regidor</t>
  </si>
  <si>
    <t>Síndico</t>
  </si>
  <si>
    <t>Enc. De la hacienda</t>
  </si>
  <si>
    <t>CATASTRO</t>
  </si>
  <si>
    <t>Oficial</t>
  </si>
  <si>
    <t>TRANSPARENCIA</t>
  </si>
  <si>
    <t>DESARROLLO AGROPECUARIO</t>
  </si>
  <si>
    <t>Desarrollo Urbano</t>
  </si>
  <si>
    <t>Aux. Legal</t>
  </si>
  <si>
    <t>Aux. Agropecuario</t>
  </si>
  <si>
    <t>Limpieza</t>
  </si>
  <si>
    <t>Albañil</t>
  </si>
  <si>
    <t>Paramédico</t>
  </si>
  <si>
    <t>Peón</t>
  </si>
  <si>
    <t>Dir. Turismo</t>
  </si>
  <si>
    <t>COMUNICACIÓN SOCIAL</t>
  </si>
  <si>
    <t>Encargada</t>
  </si>
  <si>
    <t>Luis Santos Oliva</t>
  </si>
  <si>
    <t>MEDIO AMBIENTE</t>
  </si>
  <si>
    <t xml:space="preserve">Jefe de No Antec. Penales </t>
  </si>
  <si>
    <t>Publicadas en el D. O. F. el dia 11 de Enero de 2020.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</si>
  <si>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</si>
  <si>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 xml:space="preserve">               EJERCICIO 2021</t>
  </si>
  <si>
    <t>Mtto. Campo fut bol</t>
  </si>
  <si>
    <t>Titular Ce-Mujer</t>
  </si>
  <si>
    <t>Presidente Municipal</t>
  </si>
  <si>
    <t>CONTRALORIA</t>
  </si>
  <si>
    <t>Contralor</t>
  </si>
  <si>
    <t>EFECTIVO</t>
  </si>
  <si>
    <t>TARJETA</t>
  </si>
  <si>
    <t>efectivo seg pub y prot</t>
  </si>
  <si>
    <t>tarjeta seg pub y prot</t>
  </si>
  <si>
    <t>SUELDO DIARIO</t>
  </si>
  <si>
    <t xml:space="preserve">        C.D. Josè Ascenciòn Murguia Santiago</t>
  </si>
  <si>
    <t>Sueldo quincenal</t>
  </si>
  <si>
    <t>Subsidio al empleo</t>
  </si>
  <si>
    <t>Total deduc.</t>
  </si>
  <si>
    <t>TOTAL A PAGAR</t>
  </si>
  <si>
    <t>Efectivo</t>
  </si>
  <si>
    <t>Tarjeta</t>
  </si>
  <si>
    <t xml:space="preserve">           C. Leslye Belèn Nuño Arreola</t>
  </si>
  <si>
    <t xml:space="preserve">         ENC. DE LA HACIENDA PUBLICA</t>
  </si>
  <si>
    <t>Director Prom. Económico</t>
  </si>
  <si>
    <t>Veterinario</t>
  </si>
  <si>
    <t>Director Part. Ciudadana</t>
  </si>
  <si>
    <t>Limpieza panteón</t>
  </si>
  <si>
    <t>APOYOS A INSTITUCIONES EDUCATIVAS</t>
  </si>
  <si>
    <t>CURP</t>
  </si>
  <si>
    <t>Velador primaria la Estanzuela</t>
  </si>
  <si>
    <t>Velador Secundaria la Estanzuela</t>
  </si>
  <si>
    <t xml:space="preserve">         ENC. DE LA HACIENDA MUNICIPAL</t>
  </si>
  <si>
    <t>Laura Guadalupe Najar Lozano</t>
  </si>
  <si>
    <t>Secretario de sindicatura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</si>
  <si>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</si>
  <si>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</si>
  <si>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</si>
  <si>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</si>
  <si>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</si>
  <si>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</si>
  <si>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</si>
  <si>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</si>
  <si>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Deportes</t>
  </si>
  <si>
    <t>Marco Antonio Lara Aguilera</t>
  </si>
  <si>
    <t>Escolta</t>
  </si>
  <si>
    <t>Secretario</t>
  </si>
  <si>
    <t>Sub-Comisario</t>
  </si>
  <si>
    <t>Salvador Alejandro Barajas Torres</t>
  </si>
  <si>
    <t>Barrendero</t>
  </si>
  <si>
    <t>Velador Estación</t>
  </si>
  <si>
    <t>Dir. De archivo</t>
  </si>
  <si>
    <t>Enc. Del sistema de agua potable</t>
  </si>
  <si>
    <t>Aux. Ce-Mujer</t>
  </si>
  <si>
    <t>Oficial Mayor</t>
  </si>
  <si>
    <t>Enc. De Bomba La higuerita</t>
  </si>
  <si>
    <t>Dirección de la Juventud</t>
  </si>
  <si>
    <t>Sub-Total</t>
  </si>
  <si>
    <t>Aux. de turismo</t>
  </si>
  <si>
    <t>Encargado campo de futbol</t>
  </si>
  <si>
    <t xml:space="preserve">Recolector </t>
  </si>
  <si>
    <t>Barrendera del rio</t>
  </si>
  <si>
    <t>Encargado de bomba</t>
  </si>
  <si>
    <t>Barrendero plaza</t>
  </si>
  <si>
    <t>Barrendera Plaza</t>
  </si>
  <si>
    <t>Aseo delegación</t>
  </si>
  <si>
    <t>Promotor de deportes</t>
  </si>
  <si>
    <t>Jefe de Ingresos</t>
  </si>
  <si>
    <t>Jefa Egresos</t>
  </si>
  <si>
    <t>Comandante</t>
  </si>
  <si>
    <t xml:space="preserve">   PRESIDENTE MUNICIPAL</t>
  </si>
  <si>
    <t>Secretario General</t>
  </si>
  <si>
    <t>Aseo Centro de Salud Municipal</t>
  </si>
  <si>
    <t>Agente DARE</t>
  </si>
  <si>
    <t>Raúl Camberos Pizano</t>
  </si>
  <si>
    <t>APOYOS A INSTITUCIONES DE SALUD</t>
  </si>
  <si>
    <t>Hilda Fabiola Ramos Lara</t>
  </si>
  <si>
    <t>Aseo centro de salud la Estanzuela</t>
  </si>
  <si>
    <t>Aseo Centro de Salud Lucio Blanco</t>
  </si>
  <si>
    <t>María de Jesús Contreras Lomelí</t>
  </si>
  <si>
    <t>Juana Salazar Flores</t>
  </si>
  <si>
    <t xml:space="preserve">Paramédico </t>
  </si>
  <si>
    <t>Intendencia</t>
  </si>
  <si>
    <t>Asesor de trabajo social</t>
  </si>
  <si>
    <t xml:space="preserve">Intendente </t>
  </si>
  <si>
    <t>Orden de pago</t>
  </si>
  <si>
    <t>Marlene Elizabeth Tadeo Bañuelos</t>
  </si>
  <si>
    <t xml:space="preserve">            PRESIDENTE MUNICIPAL</t>
  </si>
  <si>
    <t>Sindicalizado</t>
  </si>
  <si>
    <t>TOTALES</t>
  </si>
  <si>
    <t>Salarios Totales</t>
  </si>
  <si>
    <t>Intendente del Centro de Salud</t>
  </si>
  <si>
    <t>Adriana Loera Salazar</t>
  </si>
  <si>
    <t>Intendente Jardín de niños</t>
  </si>
  <si>
    <t>Auxiliar de cultura</t>
  </si>
  <si>
    <t>Julio César Reyes García</t>
  </si>
  <si>
    <t xml:space="preserve">       C.D. José Ascensión Murguía Santiago</t>
  </si>
  <si>
    <t xml:space="preserve">           C.  Leslye Belén Nuño Arreola</t>
  </si>
  <si>
    <t>Días</t>
  </si>
  <si>
    <t>Crédito</t>
  </si>
  <si>
    <t>Núm..</t>
  </si>
  <si>
    <t>Percepción</t>
  </si>
  <si>
    <t>Héctor Emmanuel Corrales Benítez</t>
  </si>
  <si>
    <t xml:space="preserve">            C.D. José Ascensión Murguía Santiago</t>
  </si>
  <si>
    <t xml:space="preserve">           C. Leslye Belén Nuño Arreola</t>
  </si>
  <si>
    <t>Asesora</t>
  </si>
  <si>
    <t>Otros exentos</t>
  </si>
  <si>
    <t>total percepción</t>
  </si>
  <si>
    <t xml:space="preserve">  C.D. José Ascensión Murguía Santiago</t>
  </si>
  <si>
    <t xml:space="preserve">          C. Leslye Belén Nuño Arreola</t>
  </si>
  <si>
    <t xml:space="preserve">D E D U C  I O N E S </t>
  </si>
  <si>
    <t>Deduce.</t>
  </si>
  <si>
    <t xml:space="preserve">           C. D. José Ascensión Murguía Santiago</t>
  </si>
  <si>
    <t xml:space="preserve"> Afanadora Kínder Lucio Blanco</t>
  </si>
  <si>
    <t>Aux. Kínder Lucio Blanco</t>
  </si>
  <si>
    <t>Giovanna Nicol Medina Gutiérrez</t>
  </si>
  <si>
    <t>Alejandra Hernández Morán</t>
  </si>
  <si>
    <t xml:space="preserve">     C.D. José Ascensión Murguía Santiago</t>
  </si>
  <si>
    <t xml:space="preserve">        C. Leslye Belén Nuño Arreola</t>
  </si>
  <si>
    <t>C.D. José Ascensión Murguía Santiago</t>
  </si>
  <si>
    <t xml:space="preserve"> PRESIDENTE MUNICIPAL</t>
  </si>
  <si>
    <t xml:space="preserve">Tonantzin Selene Moya Márquez </t>
  </si>
  <si>
    <t xml:space="preserve">Osvaldo Eliu Reyes Tapia </t>
  </si>
  <si>
    <t xml:space="preserve">Alfonso Chavez Saavedra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</si>
  <si>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</si>
  <si>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</si>
  <si>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</si>
  <si>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</si>
  <si>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</si>
  <si>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</si>
  <si>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</si>
  <si>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Total Deducciones</t>
  </si>
  <si>
    <t>Total Dedu.</t>
  </si>
  <si>
    <t>Total a pagar</t>
  </si>
  <si>
    <t xml:space="preserve">Dias trab. </t>
  </si>
  <si>
    <t xml:space="preserve">Días trab. </t>
  </si>
  <si>
    <t xml:space="preserve"> Sueldo diario</t>
  </si>
  <si>
    <t>Aux. Kinder Tehozitan</t>
  </si>
  <si>
    <t>Salarios FORTA</t>
  </si>
  <si>
    <t xml:space="preserve"> Total percepción</t>
  </si>
  <si>
    <t>Total deducciones</t>
  </si>
  <si>
    <t>Pago en efectivo</t>
  </si>
  <si>
    <t>Mtto. del campo de futbol La estanzuela</t>
  </si>
  <si>
    <t>C. Leslye Belén Nuño Arreola</t>
  </si>
  <si>
    <t>Roberto Morán Rodríguez</t>
  </si>
  <si>
    <t>Operador de maquinaria</t>
  </si>
  <si>
    <t>Mécanico</t>
  </si>
  <si>
    <t xml:space="preserve">        PRESIDENTE MUNICIPAL</t>
  </si>
  <si>
    <t>PRESIDENTE MUNICIPAL</t>
  </si>
  <si>
    <t>NOMINA DEL 01 AL 15 DE DICIEMBRE DEL 2021</t>
  </si>
  <si>
    <t>*Omar Ascensión Arreola Ojeda</t>
  </si>
  <si>
    <t>*María del Socorro Almaraz Reyes</t>
  </si>
  <si>
    <t>*Luzvi Mireya Avalos Espinoza</t>
  </si>
  <si>
    <t>*Francisco Almaraz Magallon</t>
  </si>
  <si>
    <t>*Adriana Aguilera Amaral</t>
  </si>
  <si>
    <t>*Elena Anguiano Rubio</t>
  </si>
  <si>
    <t>*Pedro Aranda</t>
  </si>
  <si>
    <t>*Andrés Alcalá López</t>
  </si>
  <si>
    <t>*Francisco Ávila Ramirez</t>
  </si>
  <si>
    <t>AEGR801218MJCSRS03</t>
  </si>
  <si>
    <t>*Raúl Ávila Zermeño</t>
  </si>
  <si>
    <t>*María del Rosario Ascencio García</t>
  </si>
  <si>
    <t>*Ernesto Ávila Hernández</t>
  </si>
  <si>
    <t>*José Manuel Anguiano Miramontes</t>
  </si>
  <si>
    <t>*Eduardo Aguilera Meza</t>
  </si>
  <si>
    <t>*Osbaldo Anguiano Gutiérrez</t>
  </si>
  <si>
    <t>*Ma. Guadalupe Armenta Virgen</t>
  </si>
  <si>
    <t>*Mercedes Becerra Acosta</t>
  </si>
  <si>
    <t>*Cipriano Blanco Candelario</t>
  </si>
  <si>
    <t>*Margarita Barrera Ruiz</t>
  </si>
  <si>
    <t>*José de Jesús Casillas Toscano</t>
  </si>
  <si>
    <t>*Cesar Castellón Santos</t>
  </si>
  <si>
    <t>*Ygnacio Celis Vizcarra</t>
  </si>
  <si>
    <t>*Luis Manuel Camarena Ávila</t>
  </si>
  <si>
    <t>*Lorenzo Chávez Saavedra</t>
  </si>
  <si>
    <t>*José Luis Castro García</t>
  </si>
  <si>
    <t>*Aniceto Cedano Sánchez</t>
  </si>
  <si>
    <t>*Oswaldo Cuarenta Hernández</t>
  </si>
  <si>
    <t>*Ramón Alejandro Castro Ruelas</t>
  </si>
  <si>
    <t>*Jorge Humberto Camberos García</t>
  </si>
  <si>
    <t>*Alan Carrillo Estrada</t>
  </si>
  <si>
    <t>*Gabriela Berenice Castro Aguilar</t>
  </si>
  <si>
    <t>*Bernardette Casillas Santiago</t>
  </si>
  <si>
    <t>*Javier Guadalupe Delgado Contreras</t>
  </si>
  <si>
    <t>*Daniela Alejandra Ulloa Delgadillo</t>
  </si>
  <si>
    <t>EOCA750917MJCSRL05</t>
  </si>
  <si>
    <t>*Luz Evelia Flores Jiménez</t>
  </si>
  <si>
    <t>*Leticia Espinoza Trigueros</t>
  </si>
  <si>
    <t>*Ramón Echeverria Aldaz</t>
  </si>
  <si>
    <t>*Raúl Flores Gallo</t>
  </si>
  <si>
    <t>*Alicia Escobedo Curiel</t>
  </si>
  <si>
    <t>*José Flores Pacheco</t>
  </si>
  <si>
    <t>*Sara Flores Coccolán</t>
  </si>
  <si>
    <t>*Angelberto Feleños Cedano</t>
  </si>
  <si>
    <t>*Susana Meza Flores</t>
  </si>
  <si>
    <t>*Ma. Nancy Lucrecia Gallegos Álvarez</t>
  </si>
  <si>
    <t>*Edgar Alfredo Gallegos Cuarenta</t>
  </si>
  <si>
    <t>*Rubén García Rosales</t>
  </si>
  <si>
    <t>*Oswaldo Gallegos Muñoz</t>
  </si>
  <si>
    <t>*Jorge Iván Gallegos Rosales</t>
  </si>
  <si>
    <t>*Jorge Humberto Gómez Ramirez</t>
  </si>
  <si>
    <t>*Jesús Emmanuel Gómez Medina</t>
  </si>
  <si>
    <t>*Baudelio González Lara</t>
  </si>
  <si>
    <t>*Lilia Elizabeth González Ponce</t>
  </si>
  <si>
    <t>*Martha Guadalupe Gómez Sánchez</t>
  </si>
  <si>
    <t>*Ivonne Gutiérrez Iñiguez</t>
  </si>
  <si>
    <t>*Margarita Gutiérrez Rizo</t>
  </si>
  <si>
    <t>*Edson Alejandro Gallegos Rosales</t>
  </si>
  <si>
    <t>*Filemón González Serrano</t>
  </si>
  <si>
    <t>*José de Jesús García Chavarín</t>
  </si>
  <si>
    <t>*Víctor Alfonso Hernández Vázquez</t>
  </si>
  <si>
    <t>*Santiago López Hernández</t>
  </si>
  <si>
    <t>*Andrés Hernández Torres</t>
  </si>
  <si>
    <t>*J. Jesús Hernández Vázquez</t>
  </si>
  <si>
    <t>*Felipe Hernandez Gonzalez</t>
  </si>
  <si>
    <t>*Juan Francisco Herrera Dillanes</t>
  </si>
  <si>
    <t>*María Guadalupe Hernández Gallegos</t>
  </si>
  <si>
    <t>*Ma. Consuelo Hernández González</t>
  </si>
  <si>
    <t>*Juan Miguel Herrera Pérez</t>
  </si>
  <si>
    <t>*Arianna Janet Huerta Parra</t>
  </si>
  <si>
    <t>*María Luisa Jiménez Virgen</t>
  </si>
  <si>
    <t>*Sergio Iván Jiménez Salazar</t>
  </si>
  <si>
    <t>*Ricardo Misael López Sánchez</t>
  </si>
  <si>
    <t>*Jorge Alberto López Hernández</t>
  </si>
  <si>
    <t>*Evelin López Virgen</t>
  </si>
  <si>
    <t>*Juan Lozano Vázquez</t>
  </si>
  <si>
    <t>*Simón Alberto Lara Aguilera</t>
  </si>
  <si>
    <t>*Juan Antonio Lozano Meza</t>
  </si>
  <si>
    <t>*Ana Isabel Lozano Sánchez</t>
  </si>
  <si>
    <t>*Nazareth Getzemaní Lara Rosales</t>
  </si>
  <si>
    <t>*Rosalba Márquez Camarena</t>
  </si>
  <si>
    <t>*Brayan Efrén Maravillas Valdez</t>
  </si>
  <si>
    <t>*Juan Fernando Medina Corona</t>
  </si>
  <si>
    <t>*Ocday Mendoza Morán</t>
  </si>
  <si>
    <t>*Ana Luisa Márquez Orozco</t>
  </si>
  <si>
    <t>*María del Socorro Meza Hernández</t>
  </si>
  <si>
    <t>*Adela Montes Barbosa</t>
  </si>
  <si>
    <t xml:space="preserve">*Nora Guadalupe Meza Camarillo </t>
  </si>
  <si>
    <t>*Ana Rosa Moran Diaz</t>
  </si>
  <si>
    <t>*Mónica Lizeth Moran Tapia</t>
  </si>
  <si>
    <t>*Adriana Martínez Carrillo</t>
  </si>
  <si>
    <t>MICA761107MJCRRN02</t>
  </si>
  <si>
    <t>*Ana Bertha Miramontes Cervantes</t>
  </si>
  <si>
    <t>*Juan Manuel Mercado Carbajal</t>
  </si>
  <si>
    <t>*Santos Emmanuel Martínez García</t>
  </si>
  <si>
    <t>*Jessica Morán García</t>
  </si>
  <si>
    <t>*José Ascensión Murguía Santiago</t>
  </si>
  <si>
    <t>*Leslye Belén Nuño Arreola</t>
  </si>
  <si>
    <t>*J. Félix Navarro Hermosillo</t>
  </si>
  <si>
    <t>*Rosalba Núñez Paredes</t>
  </si>
  <si>
    <t>*José Najar Rizo</t>
  </si>
  <si>
    <t>*Lisandro Fabián Núñez Loera</t>
  </si>
  <si>
    <t>*Brenda Guadalupe García Amezcua</t>
  </si>
  <si>
    <t>*Flor Ramona Núñez García</t>
  </si>
  <si>
    <t>*Sandra Navarro Mendoza</t>
  </si>
  <si>
    <t>*Silvia Olvera Zúñiga</t>
  </si>
  <si>
    <t>*Josué Fabián Orozco Anguiano</t>
  </si>
  <si>
    <t>*Juan Moisés Ocaranza Flores</t>
  </si>
  <si>
    <t>*Ramiro Oliva Vázquez</t>
  </si>
  <si>
    <t>*Lizbeth Oliva Flores</t>
  </si>
  <si>
    <t>*Gabriel Oliva Sánchez</t>
  </si>
  <si>
    <t>*Enrique Ortega Ascencio</t>
  </si>
  <si>
    <t>*Norberto Oliva Rosales</t>
  </si>
  <si>
    <t>*Claudia Verónica Oropeza Torres</t>
  </si>
  <si>
    <t>*Juan Pedro Plascencia Gómez</t>
  </si>
  <si>
    <t>*Francisco Ortega Rojas</t>
  </si>
  <si>
    <t>*José de Jesús Olvera Zúñiga</t>
  </si>
  <si>
    <t>*Pedro Alejandro Puebla Gómez</t>
  </si>
  <si>
    <t>*Bertha Alicia Pérez Gil</t>
  </si>
  <si>
    <t>*Juan Pesqueda Rodríguez</t>
  </si>
  <si>
    <t>*Esmeralda Plascencia Ramirez</t>
  </si>
  <si>
    <t>PASR631118MJCRNB04</t>
  </si>
  <si>
    <t>*Rebeca Partida Sánchez</t>
  </si>
  <si>
    <t>*Mercedes Candelaria Pezqueda Rosales</t>
  </si>
  <si>
    <t>*Brenda Leticia Pulido Zepeda</t>
  </si>
  <si>
    <t xml:space="preserve">*Angelica Plasencia Ramirez </t>
  </si>
  <si>
    <t xml:space="preserve">*José Luis Rodríguez Lara </t>
  </si>
  <si>
    <t>*Jesús Ascensión Rodríguez Lara</t>
  </si>
  <si>
    <t>*María de la Luz Rodríguez Ruiz</t>
  </si>
  <si>
    <t>*Gabriela Reyes Espinoza</t>
  </si>
  <si>
    <t>*Salvador Rivera Venegas</t>
  </si>
  <si>
    <t>*J. Guadalupe Rodríguez Lara</t>
  </si>
  <si>
    <t>ROFE660112MJCDLV04</t>
  </si>
  <si>
    <t>*Eva Rodríguez Flores</t>
  </si>
  <si>
    <t>*Pedro Damián Ruelas Rubio</t>
  </si>
  <si>
    <t>*Sofía Rosales Gallegos</t>
  </si>
  <si>
    <t>*Victoriano Rosales Solorzano</t>
  </si>
  <si>
    <t>*María Elena Rodríguez Aldaz</t>
  </si>
  <si>
    <t>*Juan Ramirez Caratachia</t>
  </si>
  <si>
    <t>*Gustavo Ramirez Sánchez</t>
  </si>
  <si>
    <t>*Francisco Rodríguez  Ojeda</t>
  </si>
  <si>
    <t>*J. Isabel Rosales Solorzano</t>
  </si>
  <si>
    <t>*Magdaleno Rosales Gallo</t>
  </si>
  <si>
    <t>*José Antonio Rivera Gallegos</t>
  </si>
  <si>
    <t>*Fernando Guadalupe Rodríguez Rosales</t>
  </si>
  <si>
    <t>*María Juana Romo Rodríguez</t>
  </si>
  <si>
    <t>*Irma Ramírez Orozco</t>
  </si>
  <si>
    <t>*Abelino Rivera Hernández</t>
  </si>
  <si>
    <t>*Juan Antonio Ramirez Trigueros</t>
  </si>
  <si>
    <t>*María Paola Rodríguez Rodríguez</t>
  </si>
  <si>
    <t>*Rafael Rosales Sánchez</t>
  </si>
  <si>
    <t>*Rodolfo Sánchez Gracia</t>
  </si>
  <si>
    <t>*Juana Sandoval Ramirez</t>
  </si>
  <si>
    <t>*Brenda Mireya Silva Torres</t>
  </si>
  <si>
    <t>*José de Jesús Santos Martínez</t>
  </si>
  <si>
    <t>*Sandra Erika Santos Becerra</t>
  </si>
  <si>
    <t>*Juan Carlos Saahugún Partida</t>
  </si>
  <si>
    <t>*Héctor Martin Soto Escobedo</t>
  </si>
  <si>
    <t>*Mario Pedro Soto Alvarado</t>
  </si>
  <si>
    <t>*María Guadalupe Sierra Camarena</t>
  </si>
  <si>
    <t>*Elba Patricia Sánchez Flores</t>
  </si>
  <si>
    <t>*Alejandro Serrano Sandoval</t>
  </si>
  <si>
    <t>*Ana Rosa Sánchez Silva</t>
  </si>
  <si>
    <t>*J. Guadalupe Saavedra López</t>
  </si>
  <si>
    <t>*Víctor Manuel Sandoval Flores</t>
  </si>
  <si>
    <t>*Rigoberto Santos Becerra</t>
  </si>
  <si>
    <t>*Ma. De Lourdes Sánchez Meza</t>
  </si>
  <si>
    <t>*Luz Elena Santos Silva</t>
  </si>
  <si>
    <t>*J. Jesús Santos Meza</t>
  </si>
  <si>
    <t>*Alejandra Soto Villalobos</t>
  </si>
  <si>
    <t>*Javier Saavedra Ávila</t>
  </si>
  <si>
    <t>*Humberto Sierra Contreras</t>
  </si>
  <si>
    <t>*Manuel Alfredo Tapia Santiago</t>
  </si>
  <si>
    <t>*Lorena Torres Paredes</t>
  </si>
  <si>
    <t>*Hortencia Torres Sánchez</t>
  </si>
  <si>
    <t>*Laura Elena Torres Ramirez</t>
  </si>
  <si>
    <t>*Samuel Torres Esparza</t>
  </si>
  <si>
    <t>*Oscar Eduardo Torres Celis</t>
  </si>
  <si>
    <t>*José de Jesús Tapia Maciel</t>
  </si>
  <si>
    <t>*Juan Felipe Torres Sánchez</t>
  </si>
  <si>
    <t>*Arturo Tejeda Ibarra</t>
  </si>
  <si>
    <t>*Juan Gabriel Tovar Salazar</t>
  </si>
  <si>
    <t>*René Trigueros Marroquín</t>
  </si>
  <si>
    <t>*Fausto Torres González</t>
  </si>
  <si>
    <t xml:space="preserve">*José Román Trinidad Ramírez </t>
  </si>
  <si>
    <t>*Juan Manuel Tortoledo González</t>
  </si>
  <si>
    <t>*Raúl Tsunedoro Valdez Ureña</t>
  </si>
  <si>
    <t>*J. Jesús Velazquez Moya</t>
  </si>
  <si>
    <t>*José de Jesús Venegas Rodríguez</t>
  </si>
  <si>
    <t>*Beverli Nayeli Valdez Mercado</t>
  </si>
  <si>
    <t>*Rigoberto Valdez Orozco</t>
  </si>
  <si>
    <t>*Francisco Javier Virgen Frausto</t>
  </si>
  <si>
    <t>*María Guadalupe Zepeda Ocampo</t>
  </si>
  <si>
    <t>*José de Jesús Zepeda Sánchez</t>
  </si>
  <si>
    <t>*Rubén Zepeda Álvarez</t>
  </si>
  <si>
    <t>*Maricruz González Sánchez</t>
  </si>
  <si>
    <t>*Abraham Horacio Campante Viorato</t>
  </si>
  <si>
    <t>*Jesús Durán Enríquez</t>
  </si>
  <si>
    <t>*Cristian Alexis Basilio Tapia</t>
  </si>
  <si>
    <t>*Luisa Fabiola Tapia Vidal</t>
  </si>
  <si>
    <t>*Jorge Leonardo Castro Garagarza</t>
  </si>
  <si>
    <t>*Yosmar Raymundo Gómez Cárdenas</t>
  </si>
  <si>
    <t>*Alexis Salvador Barajas Becerra</t>
  </si>
  <si>
    <t>*Sandra Griselda Maldonado Gómez</t>
  </si>
  <si>
    <t>*Mario Alberto Sierra Huerta</t>
  </si>
  <si>
    <t>*Edgar Ulises Sandoval Bautista</t>
  </si>
  <si>
    <t>*Javier Alejandro Solorzano Meza</t>
  </si>
  <si>
    <t>*Eduardo Enrique Pezqueda Ávila</t>
  </si>
  <si>
    <t>*Víctor Alfonso Pérez Sierra</t>
  </si>
  <si>
    <t>*Lorenzo Antonio Luna Anguiano</t>
  </si>
  <si>
    <t>*José Juan Daniel Luna Anguiano</t>
  </si>
  <si>
    <t>*José Daniel Luna Anguiano</t>
  </si>
  <si>
    <t>*Gilberto Cortez Espinoza</t>
  </si>
  <si>
    <t>*Guadalupe Yaneth Cortez Morales</t>
  </si>
  <si>
    <t>*Rosalba Mora Díaz</t>
  </si>
  <si>
    <t>*Rosalio Siordia Flores</t>
  </si>
  <si>
    <t>*Jesús Enrique Pérez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</si>
</sst>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_(* #,##0_);_(* \(#,##0\);_(* &quot;-&quot;??_);_(@_)"/>
    <numFmt numFmtId="169" formatCode="#,##0.00_ ;[Red]\-#,##0.00\ "/>
    <numFmt numFmtId="170" formatCode="#,##0.00_ ;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b/>
      <i/>
      <sz val="12"/>
      <name val="Arial"/>
      <family val="2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24"/>
      <color rgb="FFFF0000"/>
      <name val="Arial"/>
      <family val="2"/>
    </font>
    <font>
      <sz val="22"/>
      <color rgb="FFFF0000"/>
      <name val="Arial"/>
      <family val="2"/>
    </font>
    <font>
      <b/>
      <sz val="9"/>
      <name val="Arial"/>
      <family val="2"/>
    </font>
    <font>
      <b/>
      <sz val="10"/>
      <color indexed="18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/>
    <xf numFmtId="9" fontId="1" fillId="0" borderId="0" applyFont="0" applyFill="0" applyBorder="0" applyAlignment="0" applyProtection="0"/>
    <xf numFmtId="0" fontId="1" fillId="0" borderId="0"/>
  </cellStyleXfs>
  <cellXfs count="484">
    <xf numFmtId="0" fontId="0" fillId="0" borderId="0" xfId="0"/>
    <xf numFmtId="3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4" fontId="4" fillId="0" borderId="0" xfId="4" applyNumberFormat="1" applyFont="1" applyProtection="1"/>
    <xf numFmtId="167" fontId="6" fillId="0" borderId="0" xfId="4" applyProtection="1"/>
    <xf numFmtId="4" fontId="4" fillId="2" borderId="0" xfId="4" applyNumberFormat="1" applyFont="1" applyFill="1" applyAlignment="1" applyProtection="1">
      <alignment horizontal="centerContinuous"/>
    </xf>
    <xf numFmtId="0" fontId="0" fillId="0" borderId="0" xfId="0" applyProtection="1"/>
    <xf numFmtId="4" fontId="7" fillId="2" borderId="0" xfId="4" applyNumberFormat="1" applyFont="1" applyFill="1" applyAlignment="1" applyProtection="1">
      <alignment horizontal="centerContinuous"/>
      <protection locked="0"/>
    </xf>
    <xf numFmtId="167" fontId="6" fillId="2" borderId="0" xfId="4" applyFill="1" applyAlignment="1" applyProtection="1">
      <alignment horizontal="centerContinuous"/>
    </xf>
    <xf numFmtId="167" fontId="6" fillId="0" borderId="0" xfId="4" applyBorder="1" applyProtection="1"/>
    <xf numFmtId="4" fontId="8" fillId="0" borderId="0" xfId="4" applyNumberFormat="1" applyFont="1" applyBorder="1" applyAlignment="1" applyProtection="1">
      <alignment horizontal="centerContinuous"/>
    </xf>
    <xf numFmtId="4" fontId="9" fillId="0" borderId="0" xfId="4" applyNumberFormat="1" applyFont="1" applyBorder="1" applyProtection="1"/>
    <xf numFmtId="4" fontId="9" fillId="0" borderId="0" xfId="4" applyNumberFormat="1" applyFont="1" applyBorder="1" applyAlignment="1" applyProtection="1">
      <alignment horizontal="centerContinuous"/>
    </xf>
    <xf numFmtId="4" fontId="10" fillId="0" borderId="0" xfId="4" applyNumberFormat="1" applyFont="1" applyBorder="1" applyProtection="1"/>
    <xf numFmtId="0" fontId="1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13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/>
    <xf numFmtId="0" fontId="14" fillId="0" borderId="0" xfId="0" applyFont="1" applyAlignment="1" applyProtection="1">
      <alignment horizontal="centerContinuous"/>
    </xf>
    <xf numFmtId="167" fontId="15" fillId="0" borderId="0" xfId="4" applyFont="1" applyAlignment="1" applyProtection="1">
      <alignment horizontal="centerContinuous"/>
    </xf>
    <xf numFmtId="167" fontId="11" fillId="0" borderId="0" xfId="4" applyFont="1" applyAlignment="1" applyProtection="1">
      <alignment horizontal="centerContinuous"/>
    </xf>
    <xf numFmtId="167" fontId="6" fillId="0" borderId="0" xfId="4" applyAlignment="1" applyProtection="1">
      <alignment horizontal="centerContinuous"/>
    </xf>
    <xf numFmtId="3" fontId="13" fillId="0" borderId="0" xfId="4" quotePrefix="1" applyNumberFormat="1" applyFont="1" applyBorder="1" applyAlignment="1" applyProtection="1">
      <alignment horizontal="fill"/>
    </xf>
    <xf numFmtId="0" fontId="17" fillId="0" borderId="0" xfId="0" applyFont="1" applyAlignment="1" applyProtection="1">
      <alignment horizontal="centerContinuous"/>
    </xf>
    <xf numFmtId="167" fontId="11" fillId="0" borderId="0" xfId="4" applyFont="1" applyProtection="1"/>
    <xf numFmtId="167" fontId="2" fillId="0" borderId="0" xfId="4" applyFont="1" applyAlignment="1" applyProtection="1">
      <alignment horizontal="centerContinuous"/>
    </xf>
    <xf numFmtId="167" fontId="4" fillId="0" borderId="0" xfId="4" applyFont="1" applyProtection="1"/>
    <xf numFmtId="167" fontId="4" fillId="0" borderId="0" xfId="4" applyFont="1" applyAlignment="1" applyProtection="1">
      <alignment horizontal="centerContinuous"/>
    </xf>
    <xf numFmtId="3" fontId="13" fillId="0" borderId="0" xfId="4" applyNumberFormat="1" applyFont="1" applyBorder="1" applyProtection="1"/>
    <xf numFmtId="167" fontId="16" fillId="0" borderId="0" xfId="4" applyFont="1" applyAlignment="1" applyProtection="1">
      <alignment horizontal="center"/>
    </xf>
    <xf numFmtId="167" fontId="16" fillId="0" borderId="0" xfId="4" applyFont="1" applyProtection="1"/>
    <xf numFmtId="167" fontId="13" fillId="0" borderId="0" xfId="4" applyFont="1" applyProtection="1"/>
    <xf numFmtId="4" fontId="13" fillId="0" borderId="0" xfId="4" applyNumberFormat="1" applyFont="1" applyProtection="1"/>
    <xf numFmtId="10" fontId="13" fillId="0" borderId="0" xfId="4" applyNumberFormat="1" applyFont="1" applyProtection="1"/>
    <xf numFmtId="9" fontId="13" fillId="0" borderId="0" xfId="4" applyNumberFormat="1" applyFont="1" applyProtection="1"/>
    <xf numFmtId="165" fontId="13" fillId="0" borderId="0" xfId="5" applyNumberFormat="1" applyFont="1" applyBorder="1" applyProtection="1"/>
    <xf numFmtId="4" fontId="13" fillId="0" borderId="0" xfId="4" applyNumberFormat="1" applyFont="1" applyBorder="1" applyAlignment="1" applyProtection="1">
      <alignment horizontal="left" vertical="top"/>
    </xf>
    <xf numFmtId="3" fontId="13" fillId="0" borderId="0" xfId="4" applyNumberFormat="1" applyFont="1" applyBorder="1" applyAlignment="1" applyProtection="1">
      <alignment vertical="top"/>
    </xf>
    <xf numFmtId="9" fontId="13" fillId="0" borderId="0" xfId="5" applyFont="1" applyBorder="1" applyProtection="1"/>
    <xf numFmtId="4" fontId="13" fillId="0" borderId="0" xfId="4" applyNumberFormat="1" applyFont="1" applyBorder="1" applyAlignment="1" applyProtection="1">
      <alignment vertical="top"/>
    </xf>
    <xf numFmtId="4" fontId="13" fillId="0" borderId="0" xfId="4" quotePrefix="1" applyNumberFormat="1" applyFont="1" applyBorder="1" applyAlignment="1" applyProtection="1">
      <alignment horizontal="center"/>
    </xf>
    <xf numFmtId="0" fontId="5" fillId="0" borderId="0" xfId="0" applyFont="1" applyProtection="1"/>
    <xf numFmtId="9" fontId="13" fillId="0" borderId="0" xfId="5" applyFont="1" applyProtection="1">
      <protection locked="0"/>
    </xf>
    <xf numFmtId="0" fontId="13" fillId="0" borderId="0" xfId="0" applyFont="1" applyProtection="1"/>
    <xf numFmtId="0" fontId="13" fillId="0" borderId="0" xfId="0" applyFont="1" applyBorder="1" applyProtection="1"/>
    <xf numFmtId="4" fontId="18" fillId="0" borderId="0" xfId="4" applyNumberFormat="1" applyFont="1" applyBorder="1" applyAlignment="1" applyProtection="1">
      <alignment horizontal="left"/>
    </xf>
    <xf numFmtId="4" fontId="16" fillId="0" borderId="0" xfId="4" applyNumberFormat="1" applyFont="1" applyBorder="1" applyAlignment="1" applyProtection="1">
      <alignment horizontal="left"/>
    </xf>
    <xf numFmtId="4" fontId="13" fillId="0" borderId="0" xfId="4" applyNumberFormat="1" applyFont="1" applyBorder="1" applyProtection="1">
      <protection locked="0"/>
    </xf>
    <xf numFmtId="0" fontId="22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1" fillId="0" borderId="0" xfId="0" applyFont="1" applyProtection="1"/>
    <xf numFmtId="4" fontId="4" fillId="0" borderId="0" xfId="4" applyNumberFormat="1" applyFont="1" applyBorder="1" applyProtection="1"/>
    <xf numFmtId="38" fontId="10" fillId="0" borderId="0" xfId="4" applyNumberFormat="1" applyFont="1" applyBorder="1" applyProtection="1"/>
    <xf numFmtId="168" fontId="4" fillId="0" borderId="0" xfId="3" applyNumberFormat="1" applyFont="1" applyBorder="1" applyProtection="1"/>
    <xf numFmtId="164" fontId="4" fillId="0" borderId="0" xfId="3" applyFont="1" applyProtection="1"/>
    <xf numFmtId="3" fontId="4" fillId="0" borderId="0" xfId="4" applyNumberFormat="1" applyFont="1" applyProtection="1"/>
    <xf numFmtId="4" fontId="17" fillId="3" borderId="0" xfId="4" applyNumberFormat="1" applyFont="1" applyFill="1" applyProtection="1"/>
    <xf numFmtId="4" fontId="4" fillId="3" borderId="0" xfId="4" applyNumberFormat="1" applyFont="1" applyFill="1" applyProtection="1"/>
    <xf numFmtId="167" fontId="3" fillId="0" borderId="0" xfId="4" applyFont="1" applyAlignment="1" applyProtection="1">
      <alignment horizontal="right"/>
    </xf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6" fillId="0" borderId="1" xfId="0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fill"/>
    </xf>
    <xf numFmtId="0" fontId="26" fillId="0" borderId="0" xfId="0" applyFont="1" applyAlignment="1" applyProtection="1">
      <alignment horizontal="fill"/>
    </xf>
    <xf numFmtId="39" fontId="26" fillId="0" borderId="1" xfId="0" applyNumberFormat="1" applyFont="1" applyBorder="1" applyProtection="1"/>
    <xf numFmtId="10" fontId="26" fillId="0" borderId="1" xfId="0" applyNumberFormat="1" applyFont="1" applyBorder="1" applyProtection="1"/>
    <xf numFmtId="39" fontId="26" fillId="0" borderId="0" xfId="0" applyNumberFormat="1" applyFont="1" applyProtection="1"/>
    <xf numFmtId="39" fontId="26" fillId="0" borderId="2" xfId="0" applyNumberFormat="1" applyFont="1" applyBorder="1" applyProtection="1"/>
    <xf numFmtId="10" fontId="26" fillId="0" borderId="2" xfId="0" applyNumberFormat="1" applyFont="1" applyBorder="1" applyProtection="1"/>
    <xf numFmtId="0" fontId="26" fillId="0" borderId="2" xfId="0" applyFont="1" applyBorder="1" applyProtection="1"/>
    <xf numFmtId="0" fontId="28" fillId="0" borderId="0" xfId="0" applyFont="1" applyProtection="1"/>
    <xf numFmtId="0" fontId="27" fillId="0" borderId="0" xfId="0" applyFont="1" applyProtection="1">
      <protection locked="0"/>
    </xf>
    <xf numFmtId="39" fontId="26" fillId="0" borderId="1" xfId="0" applyNumberFormat="1" applyFont="1" applyBorder="1" applyProtection="1">
      <protection locked="0"/>
    </xf>
    <xf numFmtId="10" fontId="26" fillId="0" borderId="1" xfId="0" applyNumberFormat="1" applyFont="1" applyBorder="1" applyProtection="1">
      <protection locked="0"/>
    </xf>
    <xf numFmtId="39" fontId="26" fillId="0" borderId="1" xfId="0" applyNumberFormat="1" applyFont="1" applyFill="1" applyBorder="1" applyProtection="1">
      <protection locked="0"/>
    </xf>
    <xf numFmtId="0" fontId="30" fillId="0" borderId="0" xfId="0" applyFont="1" applyProtection="1"/>
    <xf numFmtId="4" fontId="8" fillId="2" borderId="0" xfId="4" applyNumberFormat="1" applyFont="1" applyFill="1" applyAlignment="1" applyProtection="1">
      <alignment horizontal="centerContinuous"/>
      <protection locked="0"/>
    </xf>
    <xf numFmtId="4" fontId="11" fillId="2" borderId="0" xfId="4" applyNumberFormat="1" applyFont="1" applyFill="1" applyAlignment="1" applyProtection="1">
      <alignment horizontal="centerContinuous"/>
    </xf>
    <xf numFmtId="49" fontId="32" fillId="2" borderId="0" xfId="4" applyNumberFormat="1" applyFont="1" applyFill="1" applyAlignment="1" applyProtection="1">
      <alignment horizontal="centerContinuous"/>
      <protection locked="0"/>
    </xf>
    <xf numFmtId="169" fontId="13" fillId="0" borderId="0" xfId="4" applyNumberFormat="1" applyFont="1" applyBorder="1" applyProtection="1">
      <protection locked="0"/>
    </xf>
    <xf numFmtId="169" fontId="13" fillId="0" borderId="0" xfId="4" quotePrefix="1" applyNumberFormat="1" applyFont="1" applyBorder="1" applyAlignment="1" applyProtection="1">
      <alignment horizontal="fill"/>
    </xf>
    <xf numFmtId="169" fontId="13" fillId="0" borderId="0" xfId="4" applyNumberFormat="1" applyFont="1" applyBorder="1" applyProtection="1"/>
    <xf numFmtId="10" fontId="13" fillId="0" borderId="0" xfId="5" applyNumberFormat="1" applyFont="1" applyBorder="1" applyProtection="1"/>
    <xf numFmtId="169" fontId="13" fillId="0" borderId="0" xfId="4" applyNumberFormat="1" applyFont="1" applyBorder="1" applyAlignment="1" applyProtection="1">
      <alignment vertical="top"/>
    </xf>
    <xf numFmtId="169" fontId="5" fillId="0" borderId="0" xfId="0" applyNumberFormat="1" applyFont="1" applyProtection="1"/>
    <xf numFmtId="169" fontId="6" fillId="0" borderId="0" xfId="4" applyNumberFormat="1" applyProtection="1"/>
    <xf numFmtId="169" fontId="18" fillId="0" borderId="14" xfId="3" applyNumberFormat="1" applyFont="1" applyBorder="1" applyProtection="1"/>
    <xf numFmtId="169" fontId="16" fillId="0" borderId="15" xfId="3" applyNumberFormat="1" applyFont="1" applyBorder="1" applyProtection="1"/>
    <xf numFmtId="4" fontId="5" fillId="0" borderId="0" xfId="4" applyNumberFormat="1" applyFont="1" applyProtection="1"/>
    <xf numFmtId="10" fontId="5" fillId="0" borderId="0" xfId="4" applyNumberFormat="1" applyFont="1" applyProtection="1"/>
    <xf numFmtId="4" fontId="11" fillId="3" borderId="0" xfId="4" applyNumberFormat="1" applyFont="1" applyFill="1" applyProtection="1"/>
    <xf numFmtId="0" fontId="37" fillId="0" borderId="0" xfId="0" applyFont="1" applyProtection="1"/>
    <xf numFmtId="4" fontId="37" fillId="0" borderId="0" xfId="4" applyNumberFormat="1" applyFont="1" applyProtection="1"/>
    <xf numFmtId="0" fontId="2" fillId="0" borderId="0" xfId="0" applyFont="1" applyProtection="1"/>
    <xf numFmtId="43" fontId="1" fillId="0" borderId="0" xfId="2" applyFont="1" applyProtection="1"/>
    <xf numFmtId="43" fontId="34" fillId="0" borderId="0" xfId="2" applyFont="1" applyFill="1" applyProtection="1"/>
    <xf numFmtId="0" fontId="34" fillId="0" borderId="0" xfId="0" applyFont="1" applyFill="1" applyProtection="1"/>
    <xf numFmtId="169" fontId="36" fillId="0" borderId="0" xfId="0" applyNumberFormat="1" applyFont="1" applyFill="1" applyProtection="1"/>
    <xf numFmtId="43" fontId="1" fillId="0" borderId="0" xfId="0" applyNumberFormat="1" applyFont="1" applyProtection="1"/>
    <xf numFmtId="0" fontId="1" fillId="0" borderId="0" xfId="0" applyFont="1" applyFill="1" applyProtection="1"/>
    <xf numFmtId="169" fontId="23" fillId="0" borderId="0" xfId="0" applyNumberFormat="1" applyFont="1" applyFill="1" applyProtection="1"/>
    <xf numFmtId="43" fontId="1" fillId="0" borderId="0" xfId="2" applyFont="1" applyFill="1" applyProtection="1"/>
    <xf numFmtId="0" fontId="2" fillId="0" borderId="0" xfId="0" applyFont="1" applyFill="1" applyProtection="1"/>
    <xf numFmtId="43" fontId="2" fillId="0" borderId="0" xfId="2" applyFont="1" applyFill="1" applyProtection="1"/>
    <xf numFmtId="169" fontId="34" fillId="0" borderId="0" xfId="0" applyNumberFormat="1" applyFont="1" applyFill="1" applyProtection="1"/>
    <xf numFmtId="0" fontId="1" fillId="0" borderId="0" xfId="0" applyFont="1"/>
    <xf numFmtId="169" fontId="10" fillId="0" borderId="0" xfId="0" applyNumberFormat="1" applyFont="1" applyFill="1" applyProtection="1"/>
    <xf numFmtId="43" fontId="10" fillId="0" borderId="0" xfId="2" applyFont="1" applyFill="1" applyProtection="1"/>
    <xf numFmtId="0" fontId="1" fillId="0" borderId="0" xfId="0" applyFont="1" applyFill="1"/>
    <xf numFmtId="0" fontId="10" fillId="0" borderId="0" xfId="0" applyFont="1" applyFill="1" applyProtection="1"/>
    <xf numFmtId="169" fontId="1" fillId="0" borderId="0" xfId="0" applyNumberFormat="1" applyFont="1"/>
    <xf numFmtId="43" fontId="1" fillId="0" borderId="0" xfId="0" applyNumberFormat="1" applyFont="1"/>
    <xf numFmtId="169" fontId="1" fillId="0" borderId="0" xfId="0" applyNumberFormat="1" applyFont="1" applyFill="1"/>
    <xf numFmtId="43" fontId="34" fillId="5" borderId="0" xfId="2" applyFont="1" applyFill="1" applyProtection="1"/>
    <xf numFmtId="0" fontId="34" fillId="5" borderId="0" xfId="0" applyFont="1" applyFill="1" applyProtection="1"/>
    <xf numFmtId="0" fontId="34" fillId="0" borderId="4" xfId="0" applyFont="1" applyFill="1" applyBorder="1" applyProtection="1"/>
    <xf numFmtId="43" fontId="1" fillId="5" borderId="0" xfId="2" applyFont="1" applyFill="1" applyProtection="1"/>
    <xf numFmtId="43" fontId="1" fillId="0" borderId="4" xfId="2" applyFont="1" applyBorder="1" applyProtection="1"/>
    <xf numFmtId="43" fontId="34" fillId="0" borderId="4" xfId="2" applyFont="1" applyFill="1" applyBorder="1" applyProtection="1"/>
    <xf numFmtId="0" fontId="11" fillId="0" borderId="0" xfId="0" applyFont="1"/>
    <xf numFmtId="0" fontId="1" fillId="0" borderId="19" xfId="0" applyFont="1" applyBorder="1"/>
    <xf numFmtId="0" fontId="1" fillId="0" borderId="0" xfId="0" applyFont="1" applyFill="1" applyBorder="1" applyProtection="1"/>
    <xf numFmtId="0" fontId="1" fillId="0" borderId="0" xfId="0" applyFont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" fillId="0" borderId="0" xfId="0" applyFont="1" applyBorder="1"/>
    <xf numFmtId="0" fontId="38" fillId="0" borderId="0" xfId="0" applyFont="1" applyAlignment="1" applyProtection="1">
      <alignment vertical="center" wrapText="1"/>
    </xf>
    <xf numFmtId="169" fontId="7" fillId="7" borderId="0" xfId="0" applyNumberFormat="1" applyFont="1" applyFill="1" applyProtection="1"/>
    <xf numFmtId="0" fontId="1" fillId="0" borderId="0" xfId="0" applyNumberFormat="1" applyFont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1" fillId="8" borderId="0" xfId="0" applyFont="1" applyFill="1" applyProtection="1"/>
    <xf numFmtId="2" fontId="1" fillId="0" borderId="0" xfId="0" applyNumberFormat="1" applyFont="1" applyProtection="1"/>
    <xf numFmtId="0" fontId="34" fillId="0" borderId="0" xfId="0" applyFont="1" applyFill="1" applyAlignment="1" applyProtection="1">
      <alignment wrapText="1"/>
    </xf>
    <xf numFmtId="0" fontId="34" fillId="0" borderId="0" xfId="0" applyFont="1" applyFill="1" applyAlignment="1" applyProtection="1"/>
    <xf numFmtId="0" fontId="1" fillId="0" borderId="4" xfId="0" applyFont="1" applyFill="1" applyBorder="1" applyAlignment="1" applyProtection="1">
      <alignment horizontal="left" vertical="center" wrapText="1"/>
    </xf>
    <xf numFmtId="0" fontId="5" fillId="0" borderId="0" xfId="0" applyFont="1"/>
    <xf numFmtId="0" fontId="39" fillId="0" borderId="0" xfId="0" applyFont="1" applyAlignment="1" applyProtection="1">
      <alignment vertical="center" wrapText="1"/>
    </xf>
    <xf numFmtId="2" fontId="7" fillId="9" borderId="0" xfId="0" applyNumberFormat="1" applyFont="1" applyFill="1" applyProtection="1"/>
    <xf numFmtId="43" fontId="34" fillId="0" borderId="0" xfId="2" applyFont="1" applyFill="1" applyAlignment="1" applyProtection="1">
      <alignment vertical="center" wrapText="1"/>
    </xf>
    <xf numFmtId="43" fontId="34" fillId="5" borderId="0" xfId="2" applyFont="1" applyFill="1" applyAlignment="1" applyProtection="1">
      <alignment vertical="center" wrapText="1"/>
    </xf>
    <xf numFmtId="43" fontId="1" fillId="0" borderId="0" xfId="2" applyFont="1" applyFill="1" applyAlignment="1" applyProtection="1">
      <alignment vertical="center" wrapText="1"/>
    </xf>
    <xf numFmtId="43" fontId="34" fillId="0" borderId="4" xfId="2" applyFont="1" applyFill="1" applyBorder="1" applyAlignment="1" applyProtection="1">
      <alignment vertical="center" wrapText="1"/>
    </xf>
    <xf numFmtId="0" fontId="34" fillId="10" borderId="0" xfId="0" applyFont="1" applyFill="1" applyProtection="1"/>
    <xf numFmtId="0" fontId="34" fillId="12" borderId="0" xfId="0" applyFont="1" applyFill="1" applyProtection="1"/>
    <xf numFmtId="0" fontId="1" fillId="12" borderId="0" xfId="0" applyFont="1" applyFill="1" applyProtection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wrapText="1"/>
    </xf>
    <xf numFmtId="0" fontId="37" fillId="0" borderId="0" xfId="0" applyFont="1" applyBorder="1" applyAlignment="1">
      <alignment wrapText="1"/>
    </xf>
    <xf numFmtId="0" fontId="40" fillId="0" borderId="0" xfId="0" applyFont="1" applyAlignment="1">
      <alignment wrapText="1"/>
    </xf>
    <xf numFmtId="0" fontId="2" fillId="0" borderId="0" xfId="0" applyFont="1" applyFill="1" applyAlignment="1" applyProtection="1">
      <alignment vertical="center"/>
    </xf>
    <xf numFmtId="0" fontId="1" fillId="0" borderId="17" xfId="0" applyFont="1" applyFill="1" applyBorder="1" applyAlignment="1" applyProtection="1">
      <alignment horizontal="left" vertical="center" wrapText="1"/>
    </xf>
    <xf numFmtId="169" fontId="0" fillId="0" borderId="0" xfId="0" applyNumberFormat="1"/>
    <xf numFmtId="169" fontId="1" fillId="0" borderId="0" xfId="0" applyNumberFormat="1" applyFont="1" applyProtection="1"/>
    <xf numFmtId="0" fontId="2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3" fontId="34" fillId="0" borderId="0" xfId="2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17" xfId="0" applyFont="1" applyBorder="1" applyAlignment="1">
      <alignment vertical="center"/>
    </xf>
    <xf numFmtId="169" fontId="1" fillId="0" borderId="4" xfId="2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center" vertical="center"/>
    </xf>
    <xf numFmtId="169" fontId="23" fillId="0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wrapText="1"/>
    </xf>
    <xf numFmtId="169" fontId="5" fillId="0" borderId="21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 wrapText="1"/>
    </xf>
    <xf numFmtId="0" fontId="1" fillId="0" borderId="19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43" fontId="1" fillId="0" borderId="0" xfId="2" applyFont="1" applyFill="1" applyAlignment="1" applyProtection="1">
      <alignment vertical="center"/>
    </xf>
    <xf numFmtId="0" fontId="1" fillId="0" borderId="16" xfId="0" applyFont="1" applyFill="1" applyBorder="1" applyAlignment="1" applyProtection="1">
      <alignment horizontal="center"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Fill="1" applyBorder="1" applyAlignment="1" applyProtection="1">
      <alignment horizontal="right" vertical="center"/>
      <protection locked="0"/>
    </xf>
    <xf numFmtId="169" fontId="1" fillId="0" borderId="4" xfId="2" applyNumberFormat="1" applyFont="1" applyFill="1" applyBorder="1" applyAlignment="1" applyProtection="1">
      <alignment horizontal="right" vertical="center"/>
      <protection locked="0"/>
    </xf>
    <xf numFmtId="1" fontId="1" fillId="0" borderId="4" xfId="2" applyNumberFormat="1" applyFont="1" applyFill="1" applyBorder="1" applyAlignment="1" applyProtection="1">
      <alignment horizontal="right" vertical="center"/>
    </xf>
    <xf numFmtId="10" fontId="1" fillId="0" borderId="4" xfId="5" applyNumberFormat="1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</xf>
    <xf numFmtId="169" fontId="1" fillId="0" borderId="18" xfId="2" applyNumberFormat="1" applyFont="1" applyFill="1" applyBorder="1" applyAlignment="1" applyProtection="1">
      <alignment horizontal="right" vertical="center"/>
    </xf>
    <xf numFmtId="169" fontId="2" fillId="0" borderId="4" xfId="2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3" fontId="1" fillId="0" borderId="0" xfId="2" applyFont="1" applyFill="1" applyAlignment="1" applyProtection="1">
      <alignment horizontal="center" vertical="center"/>
    </xf>
    <xf numFmtId="169" fontId="1" fillId="0" borderId="4" xfId="0" applyNumberFormat="1" applyFont="1" applyFill="1" applyBorder="1" applyAlignment="1" applyProtection="1">
      <alignment horizontal="center" vertical="center"/>
      <protection locked="0"/>
    </xf>
    <xf numFmtId="169" fontId="1" fillId="0" borderId="4" xfId="2" applyNumberFormat="1" applyFont="1" applyFill="1" applyBorder="1" applyAlignment="1" applyProtection="1">
      <alignment horizontal="center" vertical="center"/>
    </xf>
    <xf numFmtId="169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9" fontId="23" fillId="0" borderId="0" xfId="0" applyNumberFormat="1" applyFont="1" applyFill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169" fontId="1" fillId="0" borderId="0" xfId="0" applyNumberFormat="1" applyFont="1" applyFill="1" applyBorder="1" applyAlignment="1" applyProtection="1">
      <alignment horizontal="center" vertical="center"/>
      <protection locked="0"/>
    </xf>
    <xf numFmtId="169" fontId="1" fillId="0" borderId="0" xfId="2" applyNumberFormat="1" applyFont="1" applyFill="1" applyBorder="1" applyAlignment="1" applyProtection="1">
      <alignment horizontal="center" vertical="center"/>
    </xf>
    <xf numFmtId="169" fontId="1" fillId="0" borderId="0" xfId="2" applyNumberFormat="1" applyFont="1" applyFill="1" applyBorder="1" applyAlignment="1" applyProtection="1">
      <alignment horizontal="center" vertical="center"/>
      <protection locked="0"/>
    </xf>
    <xf numFmtId="1" fontId="1" fillId="0" borderId="0" xfId="2" applyNumberFormat="1" applyFont="1" applyFill="1" applyBorder="1" applyAlignment="1" applyProtection="1">
      <alignment horizontal="center" vertical="center"/>
    </xf>
    <xf numFmtId="10" fontId="1" fillId="0" borderId="0" xfId="5" applyNumberFormat="1" applyFont="1" applyFill="1" applyBorder="1" applyAlignment="1" applyProtection="1">
      <alignment horizontal="center" vertical="center"/>
    </xf>
    <xf numFmtId="2" fontId="1" fillId="0" borderId="0" xfId="2" applyNumberFormat="1" applyFont="1" applyFill="1" applyBorder="1" applyAlignment="1" applyProtection="1">
      <alignment horizontal="center" vertical="center"/>
    </xf>
    <xf numFmtId="169" fontId="1" fillId="0" borderId="2" xfId="2" applyNumberFormat="1" applyFont="1" applyFill="1" applyBorder="1" applyAlignment="1" applyProtection="1">
      <alignment horizontal="center" vertical="center"/>
    </xf>
    <xf numFmtId="1" fontId="2" fillId="0" borderId="0" xfId="2" applyNumberFormat="1" applyFont="1" applyFill="1" applyBorder="1" applyAlignment="1" applyProtection="1">
      <alignment horizontal="center" vertical="center"/>
    </xf>
    <xf numFmtId="169" fontId="2" fillId="0" borderId="7" xfId="2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NumberFormat="1" applyFont="1" applyAlignment="1" applyProtection="1">
      <alignment horizontal="center" vertical="center"/>
    </xf>
    <xf numFmtId="2" fontId="29" fillId="0" borderId="0" xfId="0" applyNumberFormat="1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9" fontId="1" fillId="0" borderId="4" xfId="2" applyNumberFormat="1" applyFont="1" applyFill="1" applyBorder="1" applyAlignment="1" applyProtection="1">
      <alignment horizontal="center" vertical="center" wrapText="1"/>
    </xf>
    <xf numFmtId="1" fontId="1" fillId="0" borderId="4" xfId="2" applyNumberFormat="1" applyFont="1" applyFill="1" applyBorder="1" applyAlignment="1" applyProtection="1">
      <alignment horizontal="center" vertical="center" wrapText="1"/>
    </xf>
    <xf numFmtId="10" fontId="1" fillId="0" borderId="4" xfId="5" applyNumberFormat="1" applyFont="1" applyFill="1" applyBorder="1" applyAlignment="1" applyProtection="1">
      <alignment horizontal="center" vertical="center" wrapText="1"/>
    </xf>
    <xf numFmtId="2" fontId="1" fillId="0" borderId="4" xfId="2" applyNumberFormat="1" applyFont="1" applyFill="1" applyBorder="1" applyAlignment="1" applyProtection="1">
      <alignment horizontal="center" vertical="center" wrapText="1"/>
    </xf>
    <xf numFmtId="170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2" fillId="0" borderId="4" xfId="2" applyNumberFormat="1" applyFont="1" applyBorder="1" applyAlignment="1" applyProtection="1">
      <alignment horizontal="center" vertical="center" wrapText="1"/>
    </xf>
    <xf numFmtId="169" fontId="2" fillId="0" borderId="4" xfId="2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43" fontId="2" fillId="0" borderId="4" xfId="2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16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4" xfId="2" applyNumberFormat="1" applyFont="1" applyFill="1" applyBorder="1" applyAlignment="1" applyProtection="1">
      <alignment horizontal="center" vertical="center" wrapText="1"/>
    </xf>
    <xf numFmtId="43" fontId="2" fillId="0" borderId="0" xfId="2" applyFont="1" applyFill="1" applyAlignment="1" applyProtection="1">
      <alignment horizontal="center"/>
    </xf>
    <xf numFmtId="169" fontId="1" fillId="0" borderId="0" xfId="0" applyNumberFormat="1" applyFont="1" applyFill="1" applyAlignment="1" applyProtection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69" fontId="1" fillId="6" borderId="0" xfId="0" applyNumberFormat="1" applyFont="1" applyFill="1" applyAlignment="1" applyProtection="1">
      <alignment horizontal="center"/>
    </xf>
    <xf numFmtId="0" fontId="1" fillId="10" borderId="0" xfId="0" applyFont="1" applyFill="1" applyAlignment="1" applyProtection="1">
      <alignment horizontal="center"/>
    </xf>
    <xf numFmtId="16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9" fontId="1" fillId="0" borderId="4" xfId="5" applyFont="1" applyFill="1" applyBorder="1" applyAlignment="1" applyProtection="1">
      <alignment horizontal="center" vertical="center" wrapText="1"/>
    </xf>
    <xf numFmtId="169" fontId="1" fillId="0" borderId="0" xfId="0" applyNumberFormat="1" applyFont="1" applyFill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3" fontId="1" fillId="0" borderId="0" xfId="2" applyFont="1" applyFill="1" applyAlignment="1" applyProtection="1">
      <alignment horizontal="center" vertical="center" wrapText="1"/>
    </xf>
    <xf numFmtId="169" fontId="2" fillId="0" borderId="4" xfId="2" applyNumberFormat="1" applyFont="1" applyFill="1" applyBorder="1" applyAlignment="1" applyProtection="1">
      <alignment horizontal="center" vertical="center"/>
    </xf>
    <xf numFmtId="170" fontId="1" fillId="0" borderId="4" xfId="2" applyNumberFormat="1" applyFont="1" applyFill="1" applyBorder="1" applyAlignment="1" applyProtection="1">
      <alignment horizontal="center" vertical="center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>
      <alignment horizontal="center" vertical="center"/>
    </xf>
    <xf numFmtId="169" fontId="1" fillId="12" borderId="4" xfId="0" applyNumberFormat="1" applyFont="1" applyFill="1" applyBorder="1" applyAlignment="1" applyProtection="1">
      <alignment horizontal="center" vertical="center"/>
      <protection locked="0"/>
    </xf>
    <xf numFmtId="169" fontId="1" fillId="12" borderId="4" xfId="2" applyNumberFormat="1" applyFont="1" applyFill="1" applyBorder="1" applyAlignment="1" applyProtection="1">
      <alignment horizontal="center" vertical="center"/>
    </xf>
    <xf numFmtId="169" fontId="1" fillId="12" borderId="4" xfId="2" applyNumberFormat="1" applyFont="1" applyFill="1" applyBorder="1" applyAlignment="1" applyProtection="1">
      <alignment horizontal="center" vertical="center"/>
      <protection locked="0"/>
    </xf>
    <xf numFmtId="1" fontId="1" fillId="12" borderId="4" xfId="2" applyNumberFormat="1" applyFont="1" applyFill="1" applyBorder="1" applyAlignment="1" applyProtection="1">
      <alignment horizontal="center" vertical="center"/>
    </xf>
    <xf numFmtId="10" fontId="1" fillId="12" borderId="4" xfId="5" applyNumberFormat="1" applyFont="1" applyFill="1" applyBorder="1" applyAlignment="1" applyProtection="1">
      <alignment horizontal="center" vertical="center"/>
    </xf>
    <xf numFmtId="2" fontId="1" fillId="12" borderId="4" xfId="2" applyNumberFormat="1" applyFont="1" applyFill="1" applyBorder="1" applyAlignment="1" applyProtection="1">
      <alignment horizontal="center" vertical="center"/>
    </xf>
    <xf numFmtId="170" fontId="1" fillId="12" borderId="4" xfId="2" applyNumberFormat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6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169" fontId="2" fillId="0" borderId="21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169" fontId="2" fillId="0" borderId="0" xfId="2" applyNumberFormat="1" applyFont="1" applyFill="1" applyBorder="1" applyAlignment="1" applyProtection="1">
      <alignment horizontal="center" vertical="center"/>
    </xf>
    <xf numFmtId="169" fontId="1" fillId="0" borderId="0" xfId="0" applyNumberFormat="1" applyFont="1" applyFill="1" applyAlignment="1" applyProtection="1">
      <alignment horizontal="center" vertical="center"/>
    </xf>
    <xf numFmtId="169" fontId="1" fillId="0" borderId="19" xfId="0" applyNumberFormat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69" fontId="1" fillId="5" borderId="4" xfId="0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  <protection locked="0"/>
    </xf>
    <xf numFmtId="169" fontId="1" fillId="5" borderId="4" xfId="2" applyNumberFormat="1" applyFont="1" applyFill="1" applyBorder="1" applyAlignment="1" applyProtection="1">
      <alignment horizontal="center" vertical="center"/>
    </xf>
    <xf numFmtId="1" fontId="1" fillId="5" borderId="4" xfId="2" applyNumberFormat="1" applyFont="1" applyFill="1" applyBorder="1" applyAlignment="1" applyProtection="1">
      <alignment horizontal="center" vertical="center"/>
    </xf>
    <xf numFmtId="10" fontId="1" fillId="5" borderId="4" xfId="5" applyNumberFormat="1" applyFont="1" applyFill="1" applyBorder="1" applyAlignment="1" applyProtection="1">
      <alignment horizontal="center" vertical="center"/>
    </xf>
    <xf numFmtId="2" fontId="1" fillId="5" borderId="4" xfId="2" applyNumberFormat="1" applyFont="1" applyFill="1" applyBorder="1" applyAlignment="1" applyProtection="1">
      <alignment horizontal="center" vertical="center"/>
    </xf>
    <xf numFmtId="170" fontId="1" fillId="5" borderId="4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/>
    </xf>
    <xf numFmtId="169" fontId="1" fillId="0" borderId="0" xfId="0" applyNumberFormat="1" applyFont="1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1" xfId="2" applyFont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9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1" fontId="1" fillId="0" borderId="4" xfId="2" applyNumberFormat="1" applyFont="1" applyBorder="1" applyAlignment="1" applyProtection="1">
      <alignment horizontal="center" vertical="center"/>
    </xf>
    <xf numFmtId="169" fontId="2" fillId="0" borderId="22" xfId="2" applyNumberFormat="1" applyFont="1" applyBorder="1" applyAlignment="1" applyProtection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69" fontId="1" fillId="0" borderId="4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</xf>
    <xf numFmtId="169" fontId="1" fillId="0" borderId="6" xfId="2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Font="1" applyFill="1" applyBorder="1" applyAlignment="1" applyProtection="1">
      <alignment horizontal="center"/>
    </xf>
    <xf numFmtId="10" fontId="1" fillId="0" borderId="6" xfId="5" applyNumberFormat="1" applyFont="1" applyFill="1" applyBorder="1" applyAlignment="1" applyProtection="1">
      <alignment horizontal="center"/>
    </xf>
    <xf numFmtId="2" fontId="1" fillId="0" borderId="0" xfId="2" applyNumberFormat="1" applyFont="1" applyFill="1" applyBorder="1" applyAlignment="1" applyProtection="1">
      <alignment horizontal="center"/>
    </xf>
    <xf numFmtId="170" fontId="1" fillId="0" borderId="6" xfId="2" applyNumberFormat="1" applyFont="1" applyFill="1" applyBorder="1" applyAlignment="1" applyProtection="1">
      <alignment horizontal="center"/>
      <protection locked="0"/>
    </xf>
    <xf numFmtId="169" fontId="1" fillId="0" borderId="0" xfId="2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16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169" fontId="1" fillId="0" borderId="21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Protection="1"/>
    <xf numFmtId="0" fontId="43" fillId="0" borderId="4" xfId="0" applyFont="1" applyFill="1" applyBorder="1" applyAlignment="1" applyProtection="1">
      <alignment horizontal="center" vertical="center"/>
    </xf>
    <xf numFmtId="0" fontId="43" fillId="0" borderId="4" xfId="0" applyFont="1" applyFill="1" applyBorder="1" applyAlignment="1" applyProtection="1">
      <alignment horizontal="center" vertical="center" wrapText="1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4" xfId="0" applyFont="1" applyBorder="1" applyAlignment="1">
      <alignment horizontal="center" vertical="center"/>
    </xf>
    <xf numFmtId="169" fontId="43" fillId="0" borderId="4" xfId="0" applyNumberFormat="1" applyFont="1" applyFill="1" applyBorder="1" applyAlignment="1" applyProtection="1">
      <alignment horizontal="center" vertical="center"/>
      <protection locked="0"/>
    </xf>
    <xf numFmtId="169" fontId="43" fillId="0" borderId="4" xfId="2" applyNumberFormat="1" applyFont="1" applyFill="1" applyBorder="1" applyAlignment="1" applyProtection="1">
      <alignment horizontal="center" vertical="center"/>
    </xf>
    <xf numFmtId="169" fontId="43" fillId="0" borderId="4" xfId="2" applyNumberFormat="1" applyFont="1" applyFill="1" applyBorder="1" applyAlignment="1" applyProtection="1">
      <alignment horizontal="center" vertical="center"/>
      <protection locked="0"/>
    </xf>
    <xf numFmtId="1" fontId="43" fillId="0" borderId="4" xfId="2" applyNumberFormat="1" applyFont="1" applyFill="1" applyBorder="1" applyAlignment="1" applyProtection="1">
      <alignment horizontal="center" vertical="center"/>
    </xf>
    <xf numFmtId="10" fontId="43" fillId="0" borderId="4" xfId="5" applyNumberFormat="1" applyFont="1" applyFill="1" applyBorder="1" applyAlignment="1" applyProtection="1">
      <alignment horizontal="center" vertical="center"/>
    </xf>
    <xf numFmtId="2" fontId="43" fillId="0" borderId="4" xfId="2" applyNumberFormat="1" applyFont="1" applyFill="1" applyBorder="1" applyAlignment="1" applyProtection="1">
      <alignment horizontal="center" vertical="center"/>
    </xf>
    <xf numFmtId="169" fontId="44" fillId="0" borderId="0" xfId="0" applyNumberFormat="1" applyFont="1" applyFill="1" applyAlignment="1" applyProtection="1">
      <alignment horizontal="center" vertical="center"/>
    </xf>
    <xf numFmtId="169" fontId="44" fillId="0" borderId="0" xfId="0" applyNumberFormat="1" applyFont="1" applyFill="1" applyProtection="1"/>
    <xf numFmtId="43" fontId="43" fillId="0" borderId="0" xfId="2" applyFont="1" applyFill="1" applyProtection="1"/>
    <xf numFmtId="43" fontId="43" fillId="0" borderId="0" xfId="2" applyFont="1" applyFill="1" applyAlignment="1" applyProtection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9" fontId="2" fillId="0" borderId="22" xfId="2" applyNumberFormat="1" applyFont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169" fontId="1" fillId="0" borderId="4" xfId="2" applyNumberFormat="1" applyFont="1" applyFill="1" applyBorder="1" applyAlignment="1" applyProtection="1">
      <alignment horizontal="center"/>
      <protection locked="0"/>
    </xf>
    <xf numFmtId="0" fontId="27" fillId="0" borderId="2" xfId="0" applyFont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/>
    </xf>
    <xf numFmtId="0" fontId="27" fillId="0" borderId="13" xfId="0" applyFont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0" fontId="27" fillId="0" borderId="10" xfId="0" applyFont="1" applyBorder="1" applyAlignment="1" applyProtection="1">
      <alignment horizontal="center"/>
    </xf>
    <xf numFmtId="0" fontId="27" fillId="0" borderId="1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2" fontId="2" fillId="0" borderId="16" xfId="0" applyNumberFormat="1" applyFont="1" applyBorder="1" applyAlignment="1" applyProtection="1">
      <alignment horizontal="center" vertical="center" wrapText="1"/>
    </xf>
    <xf numFmtId="2" fontId="2" fillId="0" borderId="17" xfId="0" applyNumberFormat="1" applyFont="1" applyBorder="1" applyAlignment="1" applyProtection="1">
      <alignment horizontal="center" vertical="center" wrapText="1"/>
    </xf>
    <xf numFmtId="2" fontId="2" fillId="0" borderId="18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2" fontId="2" fillId="0" borderId="3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10" borderId="16" xfId="0" applyFont="1" applyFill="1" applyBorder="1" applyAlignment="1" applyProtection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8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42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 applyProtection="1">
      <alignment horizontal="center" vertical="center"/>
    </xf>
    <xf numFmtId="0" fontId="1" fillId="10" borderId="17" xfId="0" applyFont="1" applyFill="1" applyBorder="1" applyAlignment="1" applyProtection="1">
      <alignment horizontal="center" vertical="center"/>
    </xf>
    <xf numFmtId="0" fontId="1" fillId="10" borderId="18" xfId="0" applyFont="1" applyFill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  <protection locked="0"/>
    </xf>
    <xf numFmtId="0" fontId="2" fillId="11" borderId="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1" fillId="0" borderId="0" xfId="0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7">
    <cellStyle name="Euro" xfId="1" xr:uid="{00000000-0005-0000-0000-000000000000}"/>
    <cellStyle name="Millares" xfId="2" builtinId="3"/>
    <cellStyle name="Millares_Calculo Sueldo 2002 " xfId="3" xr:uid="{00000000-0005-0000-0000-000002000000}"/>
    <cellStyle name="Normal" xfId="0" builtinId="0"/>
    <cellStyle name="Normal 2" xfId="6" xr:uid="{00000000-0005-0000-0000-000004000000}"/>
    <cellStyle name="Normal_PPHON" xfId="4" xr:uid="{00000000-0005-0000-0000-000005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246531</xdr:colOff>
      <xdr:row>1</xdr:row>
      <xdr:rowOff>22412</xdr:rowOff>
    </xdr:from>
    <xdr:to>
      <xdr:col>2</xdr:col>
      <xdr:colOff>1972236</xdr:colOff>
      <xdr:row>10</xdr:row>
      <xdr:rowOff>38239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50DBC4F-93D0-4695-868E-7C9891B9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3" y="179294"/>
          <a:ext cx="1725705" cy="1607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98534</xdr:colOff>
      <xdr:row>0</xdr:row>
      <xdr:rowOff>0</xdr:rowOff>
    </xdr:from>
    <xdr:to>
      <xdr:col>2</xdr:col>
      <xdr:colOff>1824239</xdr:colOff>
      <xdr:row>8</xdr:row>
      <xdr:rowOff>129046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AD1B92-7B01-49F6-8C00-C866E3BC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948" y="0"/>
          <a:ext cx="1725705" cy="1607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142328</xdr:colOff>
      <xdr:row>1</xdr:row>
      <xdr:rowOff>0</xdr:rowOff>
    </xdr:from>
    <xdr:to>
      <xdr:col>2</xdr:col>
      <xdr:colOff>1488966</xdr:colOff>
      <xdr:row>7</xdr:row>
      <xdr:rowOff>49747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59" y="0"/>
          <a:ext cx="1346638" cy="12540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57727</xdr:rowOff>
    </xdr:from>
    <xdr:to>
      <xdr:col>2</xdr:col>
      <xdr:colOff>1725705</xdr:colOff>
      <xdr:row>9</xdr:row>
      <xdr:rowOff>163881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026EF-45FA-40E8-AD66-380F6142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38727"/>
          <a:ext cx="1725705" cy="1630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354159</xdr:colOff>
      <xdr:row>5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A3BDF-7CF6-4482-B86C-1400EDF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00185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30</xdr:row>
      <xdr:rowOff>171450</xdr:rowOff>
    </xdr:from>
    <xdr:to>
      <xdr:col>1</xdr:col>
      <xdr:colOff>354159</xdr:colOff>
      <xdr:row>43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29C9A-40D6-4F3C-93E5-19520E80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362825"/>
          <a:ext cx="1001859" cy="1028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218282</xdr:colOff>
      <xdr:row>0</xdr:row>
      <xdr:rowOff>1</xdr:rowOff>
    </xdr:from>
    <xdr:to>
      <xdr:col>2</xdr:col>
      <xdr:colOff>1676797</xdr:colOff>
      <xdr:row>7</xdr:row>
      <xdr:rowOff>68399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F6BFD6-AC68-489F-9227-48F8006E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454" y="1"/>
          <a:ext cx="1458515" cy="13582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85726</xdr:rowOff>
    </xdr:from>
    <xdr:to>
      <xdr:col>2</xdr:col>
      <xdr:colOff>1781175</xdr:colOff>
      <xdr:row>6</xdr:row>
      <xdr:rowOff>82095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43A81-5995-4C57-BCD2-31D4AA39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6"/>
          <a:ext cx="1438275" cy="1339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152400</xdr:rowOff>
    </xdr:from>
    <xdr:to>
      <xdr:col>6</xdr:col>
      <xdr:colOff>0</xdr:colOff>
      <xdr:row>43</xdr:row>
      <xdr:rowOff>0</xdr:rowOff>
    </xdr:to>
    <xdr:sp macro="" textlink="">
      <xdr:nvSpPr>
        <xdr:cNvPr id="3073" name="Rectángulo 3">
          <a:extLst>
            <a:ext uri="{FF2B5EF4-FFF2-40B4-BE49-F238E27FC236}">
              <a16:creationId xmlns:a16="http://schemas.microsoft.com/office/drawing/2014/main" id="{00000000-0008-0000-1000-0000010C0000}"/>
            </a:ext>
          </a:extLst>
        </xdr:cNvPr>
        <xdr:cNvSpPr>
          <a:spLocks noChangeArrowheads="1"/>
        </xdr:cNvSpPr>
      </xdr:nvSpPr>
      <xdr:spPr bwMode="auto">
        <a:xfrm>
          <a:off x="733425" y="1619250"/>
          <a:ext cx="7524750" cy="8543925"/>
        </a:xfrm>
        <a:prstGeom prst="roundRect">
          <a:avLst>
            <a:gd name="adj" fmla="val 377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1000-000002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1000-0000030C0000}"/>
            </a:ext>
          </a:extLst>
        </xdr:cNvPr>
        <xdr:cNvSpPr>
          <a:spLocks noChangeShapeType="1"/>
        </xdr:cNvSpPr>
      </xdr:nvSpPr>
      <xdr:spPr bwMode="auto">
        <a:xfrm>
          <a:off x="4048125" y="5286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0000000-0008-0000-1000-000004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00000000-0008-0000-1000-000005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47625</xdr:rowOff>
    </xdr:from>
    <xdr:to>
      <xdr:col>5</xdr:col>
      <xdr:colOff>0</xdr:colOff>
      <xdr:row>27</xdr:row>
      <xdr:rowOff>47625</xdr:rowOff>
    </xdr:to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00000000-0008-0000-1000-0000060C0000}"/>
            </a:ext>
          </a:extLst>
        </xdr:cNvPr>
        <xdr:cNvSpPr>
          <a:spLocks noChangeShapeType="1"/>
        </xdr:cNvSpPr>
      </xdr:nvSpPr>
      <xdr:spPr bwMode="auto">
        <a:xfrm>
          <a:off x="535305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27</xdr:row>
      <xdr:rowOff>76200</xdr:rowOff>
    </xdr:from>
    <xdr:to>
      <xdr:col>5</xdr:col>
      <xdr:colOff>0</xdr:colOff>
      <xdr:row>27</xdr:row>
      <xdr:rowOff>76200</xdr:rowOff>
    </xdr:to>
    <xdr:sp macro="" textlink="">
      <xdr:nvSpPr>
        <xdr:cNvPr id="3079" name="Line 7">
          <a:extLst>
            <a:ext uri="{FF2B5EF4-FFF2-40B4-BE49-F238E27FC236}">
              <a16:creationId xmlns:a16="http://schemas.microsoft.com/office/drawing/2014/main" id="{00000000-0008-0000-1000-0000070C0000}"/>
            </a:ext>
          </a:extLst>
        </xdr:cNvPr>
        <xdr:cNvSpPr>
          <a:spLocks noChangeShapeType="1"/>
        </xdr:cNvSpPr>
      </xdr:nvSpPr>
      <xdr:spPr bwMode="auto">
        <a:xfrm>
          <a:off x="5353050" y="653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0" name="Line 8">
          <a:extLst>
            <a:ext uri="{FF2B5EF4-FFF2-40B4-BE49-F238E27FC236}">
              <a16:creationId xmlns:a16="http://schemas.microsoft.com/office/drawing/2014/main" id="{00000000-0008-0000-1000-000008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26</xdr:row>
      <xdr:rowOff>47625</xdr:rowOff>
    </xdr:from>
    <xdr:to>
      <xdr:col>5</xdr:col>
      <xdr:colOff>0</xdr:colOff>
      <xdr:row>26</xdr:row>
      <xdr:rowOff>47625</xdr:rowOff>
    </xdr:to>
    <xdr:sp macro="" textlink="">
      <xdr:nvSpPr>
        <xdr:cNvPr id="3081" name="Line 9">
          <a:extLst>
            <a:ext uri="{FF2B5EF4-FFF2-40B4-BE49-F238E27FC236}">
              <a16:creationId xmlns:a16="http://schemas.microsoft.com/office/drawing/2014/main" id="{00000000-0008-0000-1000-0000090C0000}"/>
            </a:ext>
          </a:extLst>
        </xdr:cNvPr>
        <xdr:cNvSpPr>
          <a:spLocks noChangeShapeType="1"/>
        </xdr:cNvSpPr>
      </xdr:nvSpPr>
      <xdr:spPr bwMode="auto">
        <a:xfrm>
          <a:off x="5353050" y="632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00000000-0008-0000-1000-00000A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47625</xdr:rowOff>
    </xdr:from>
    <xdr:to>
      <xdr:col>3</xdr:col>
      <xdr:colOff>0</xdr:colOff>
      <xdr:row>13</xdr:row>
      <xdr:rowOff>47625</xdr:rowOff>
    </xdr:to>
    <xdr:sp macro="" textlink="">
      <xdr:nvSpPr>
        <xdr:cNvPr id="3083" name="Line 11">
          <a:extLst>
            <a:ext uri="{FF2B5EF4-FFF2-40B4-BE49-F238E27FC236}">
              <a16:creationId xmlns:a16="http://schemas.microsoft.com/office/drawing/2014/main" id="{00000000-0008-0000-1000-00000B0C0000}"/>
            </a:ext>
          </a:extLst>
        </xdr:cNvPr>
        <xdr:cNvSpPr>
          <a:spLocks noChangeShapeType="1"/>
        </xdr:cNvSpPr>
      </xdr:nvSpPr>
      <xdr:spPr bwMode="auto">
        <a:xfrm>
          <a:off x="4048125" y="3200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00000000-0008-0000-1000-00000C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47625</xdr:rowOff>
    </xdr:from>
    <xdr:to>
      <xdr:col>3</xdr:col>
      <xdr:colOff>0</xdr:colOff>
      <xdr:row>16</xdr:row>
      <xdr:rowOff>47625</xdr:rowOff>
    </xdr:to>
    <xdr:sp macro="" textlink="">
      <xdr:nvSpPr>
        <xdr:cNvPr id="3085" name="Line 13">
          <a:extLst>
            <a:ext uri="{FF2B5EF4-FFF2-40B4-BE49-F238E27FC236}">
              <a16:creationId xmlns:a16="http://schemas.microsoft.com/office/drawing/2014/main" id="{00000000-0008-0000-1000-00000D0C0000}"/>
            </a:ext>
          </a:extLst>
        </xdr:cNvPr>
        <xdr:cNvSpPr>
          <a:spLocks noChangeShapeType="1"/>
        </xdr:cNvSpPr>
      </xdr:nvSpPr>
      <xdr:spPr bwMode="auto">
        <a:xfrm>
          <a:off x="4048125" y="3914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6" name="Line 14">
          <a:extLst>
            <a:ext uri="{FF2B5EF4-FFF2-40B4-BE49-F238E27FC236}">
              <a16:creationId xmlns:a16="http://schemas.microsoft.com/office/drawing/2014/main" id="{00000000-0008-0000-1000-00000E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47625</xdr:rowOff>
    </xdr:from>
    <xdr:to>
      <xdr:col>3</xdr:col>
      <xdr:colOff>0</xdr:colOff>
      <xdr:row>19</xdr:row>
      <xdr:rowOff>47625</xdr:rowOff>
    </xdr:to>
    <xdr:sp macro="" textlink="">
      <xdr:nvSpPr>
        <xdr:cNvPr id="3087" name="Line 15">
          <a:extLst>
            <a:ext uri="{FF2B5EF4-FFF2-40B4-BE49-F238E27FC236}">
              <a16:creationId xmlns:a16="http://schemas.microsoft.com/office/drawing/2014/main" id="{00000000-0008-0000-1000-00000F0C0000}"/>
            </a:ext>
          </a:extLst>
        </xdr:cNvPr>
        <xdr:cNvSpPr>
          <a:spLocks noChangeShapeType="1"/>
        </xdr:cNvSpPr>
      </xdr:nvSpPr>
      <xdr:spPr bwMode="auto">
        <a:xfrm>
          <a:off x="4048125" y="46767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8" name="Line 16">
          <a:extLst>
            <a:ext uri="{FF2B5EF4-FFF2-40B4-BE49-F238E27FC236}">
              <a16:creationId xmlns:a16="http://schemas.microsoft.com/office/drawing/2014/main" id="{00000000-0008-0000-1000-000010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16</xdr:row>
      <xdr:rowOff>47625</xdr:rowOff>
    </xdr:from>
    <xdr:to>
      <xdr:col>5</xdr:col>
      <xdr:colOff>0</xdr:colOff>
      <xdr:row>16</xdr:row>
      <xdr:rowOff>47625</xdr:rowOff>
    </xdr:to>
    <xdr:sp macro="" textlink="">
      <xdr:nvSpPr>
        <xdr:cNvPr id="3089" name="Line 17">
          <a:extLst>
            <a:ext uri="{FF2B5EF4-FFF2-40B4-BE49-F238E27FC236}">
              <a16:creationId xmlns:a16="http://schemas.microsoft.com/office/drawing/2014/main" id="{00000000-0008-0000-1000-0000110C0000}"/>
            </a:ext>
          </a:extLst>
        </xdr:cNvPr>
        <xdr:cNvSpPr>
          <a:spLocks noChangeShapeType="1"/>
        </xdr:cNvSpPr>
      </xdr:nvSpPr>
      <xdr:spPr bwMode="auto">
        <a:xfrm>
          <a:off x="5353050" y="3914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1000-000012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19</xdr:row>
      <xdr:rowOff>47625</xdr:rowOff>
    </xdr:from>
    <xdr:to>
      <xdr:col>5</xdr:col>
      <xdr:colOff>0</xdr:colOff>
      <xdr:row>19</xdr:row>
      <xdr:rowOff>47625</xdr:rowOff>
    </xdr:to>
    <xdr:sp macro="" textlink="">
      <xdr:nvSpPr>
        <xdr:cNvPr id="3091" name="Line 19">
          <a:extLst>
            <a:ext uri="{FF2B5EF4-FFF2-40B4-BE49-F238E27FC236}">
              <a16:creationId xmlns:a16="http://schemas.microsoft.com/office/drawing/2014/main" id="{00000000-0008-0000-1000-0000130C0000}"/>
            </a:ext>
          </a:extLst>
        </xdr:cNvPr>
        <xdr:cNvSpPr>
          <a:spLocks noChangeShapeType="1"/>
        </xdr:cNvSpPr>
      </xdr:nvSpPr>
      <xdr:spPr bwMode="auto">
        <a:xfrm>
          <a:off x="5353050" y="467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2" name="Line 20">
          <a:extLst>
            <a:ext uri="{FF2B5EF4-FFF2-40B4-BE49-F238E27FC236}">
              <a16:creationId xmlns:a16="http://schemas.microsoft.com/office/drawing/2014/main" id="{00000000-0008-0000-1000-000014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47625</xdr:rowOff>
    </xdr:from>
    <xdr:to>
      <xdr:col>5</xdr:col>
      <xdr:colOff>0</xdr:colOff>
      <xdr:row>22</xdr:row>
      <xdr:rowOff>47625</xdr:rowOff>
    </xdr:to>
    <xdr:sp macro="" textlink="">
      <xdr:nvSpPr>
        <xdr:cNvPr id="3093" name="Line 21">
          <a:extLst>
            <a:ext uri="{FF2B5EF4-FFF2-40B4-BE49-F238E27FC236}">
              <a16:creationId xmlns:a16="http://schemas.microsoft.com/office/drawing/2014/main" id="{00000000-0008-0000-1000-0000150C0000}"/>
            </a:ext>
          </a:extLst>
        </xdr:cNvPr>
        <xdr:cNvSpPr>
          <a:spLocks noChangeShapeType="1"/>
        </xdr:cNvSpPr>
      </xdr:nvSpPr>
      <xdr:spPr bwMode="auto">
        <a:xfrm>
          <a:off x="5353050" y="533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219075</xdr:rowOff>
    </xdr:from>
    <xdr:to>
      <xdr:col>3</xdr:col>
      <xdr:colOff>0</xdr:colOff>
      <xdr:row>26</xdr:row>
      <xdr:rowOff>219075</xdr:rowOff>
    </xdr:to>
    <xdr:sp macro="" textlink="">
      <xdr:nvSpPr>
        <xdr:cNvPr id="3094" name="Line 22">
          <a:extLst>
            <a:ext uri="{FF2B5EF4-FFF2-40B4-BE49-F238E27FC236}">
              <a16:creationId xmlns:a16="http://schemas.microsoft.com/office/drawing/2014/main" id="{00000000-0008-0000-1000-0000160C0000}"/>
            </a:ext>
          </a:extLst>
        </xdr:cNvPr>
        <xdr:cNvSpPr>
          <a:spLocks noChangeShapeType="1"/>
        </xdr:cNvSpPr>
      </xdr:nvSpPr>
      <xdr:spPr bwMode="auto">
        <a:xfrm>
          <a:off x="4048125" y="6457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095" name="Line 23">
          <a:extLst>
            <a:ext uri="{FF2B5EF4-FFF2-40B4-BE49-F238E27FC236}">
              <a16:creationId xmlns:a16="http://schemas.microsoft.com/office/drawing/2014/main" id="{00000000-0008-0000-1000-0000170C0000}"/>
            </a:ext>
          </a:extLst>
        </xdr:cNvPr>
        <xdr:cNvSpPr>
          <a:spLocks noChangeShapeType="1"/>
        </xdr:cNvSpPr>
      </xdr:nvSpPr>
      <xdr:spPr bwMode="auto">
        <a:xfrm>
          <a:off x="5353050" y="600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B3" sqref="B3"/>
    </sheetView>
  </sheetViews>
  <sheetFormatPr baseColWidth="10" defaultColWidth="11.453125" defaultRowHeight="12.5" x14ac:dyDescent="0.25"/>
  <cols>
    <col min="1" max="1" width="11.453125" style="7"/>
    <col min="2" max="4" width="13.7265625" style="7" customWidth="1"/>
    <col min="5" max="5" width="11.453125" style="7"/>
    <col min="6" max="7" width="13.7265625" style="7" customWidth="1"/>
    <col min="8" max="16384" width="11.453125" style="7"/>
  </cols>
  <sheetData>
    <row r="2" spans="1:7" ht="17.5" x14ac:dyDescent="0.35">
      <c r="B2" s="62" t="s">
        <v>98</v>
      </c>
      <c r="C2" s="63"/>
      <c r="D2" s="63"/>
      <c r="E2" s="63"/>
      <c r="F2" s="63"/>
      <c r="G2" s="63"/>
    </row>
    <row r="3" spans="1:7" ht="13" x14ac:dyDescent="0.3">
      <c r="B3" s="64" t="s">
        <v>92</v>
      </c>
      <c r="C3" s="63"/>
      <c r="D3" s="63"/>
      <c r="E3" s="63"/>
      <c r="F3" s="63"/>
      <c r="G3" s="63"/>
    </row>
    <row r="4" spans="1:7" ht="13" x14ac:dyDescent="0.3">
      <c r="B4" s="75" t="s">
        <v>95</v>
      </c>
      <c r="C4" s="63"/>
      <c r="D4" s="63"/>
      <c r="E4" s="63"/>
      <c r="F4" s="63"/>
      <c r="G4" s="63"/>
    </row>
    <row r="5" spans="1:7" ht="13" x14ac:dyDescent="0.3">
      <c r="B5" s="63"/>
      <c r="C5" s="63"/>
      <c r="D5" s="63"/>
      <c r="E5" s="63"/>
      <c r="F5" s="63"/>
      <c r="G5" s="63"/>
    </row>
    <row r="6" spans="1:7" ht="13" x14ac:dyDescent="0.3">
      <c r="B6" s="63"/>
      <c r="C6" s="63"/>
      <c r="D6" s="63"/>
      <c r="E6" s="63"/>
      <c r="F6" s="63"/>
      <c r="G6" s="63"/>
    </row>
    <row r="7" spans="1:7" ht="18.75" customHeight="1" x14ac:dyDescent="0.3">
      <c r="B7" s="390" t="s">
        <v>32</v>
      </c>
      <c r="C7" s="390"/>
      <c r="D7" s="390"/>
      <c r="E7" s="63"/>
      <c r="F7" s="391" t="s">
        <v>83</v>
      </c>
      <c r="G7" s="392"/>
    </row>
    <row r="8" spans="1:7" ht="14.25" customHeight="1" x14ac:dyDescent="0.3">
      <c r="B8" s="393" t="s">
        <v>31</v>
      </c>
      <c r="C8" s="393"/>
      <c r="D8" s="393"/>
      <c r="E8" s="63"/>
      <c r="F8" s="394" t="s">
        <v>84</v>
      </c>
      <c r="G8" s="395"/>
    </row>
    <row r="9" spans="1:7" ht="8.25" customHeight="1" x14ac:dyDescent="0.3">
      <c r="B9" s="387"/>
      <c r="C9" s="387"/>
      <c r="D9" s="387"/>
      <c r="E9" s="63"/>
      <c r="F9" s="388"/>
      <c r="G9" s="389"/>
    </row>
    <row r="10" spans="1:7" ht="16.5" customHeight="1" x14ac:dyDescent="0.3">
      <c r="B10" s="65" t="s">
        <v>33</v>
      </c>
      <c r="C10" s="65" t="s">
        <v>35</v>
      </c>
      <c r="D10" s="65" t="s">
        <v>29</v>
      </c>
      <c r="E10" s="63"/>
      <c r="F10" s="65" t="s">
        <v>38</v>
      </c>
      <c r="G10" s="65" t="s">
        <v>85</v>
      </c>
    </row>
    <row r="11" spans="1:7" ht="13" x14ac:dyDescent="0.3">
      <c r="A11" s="2"/>
      <c r="B11" s="65" t="s">
        <v>34</v>
      </c>
      <c r="C11" s="65" t="s">
        <v>36</v>
      </c>
      <c r="D11" s="65" t="s">
        <v>37</v>
      </c>
      <c r="E11" s="63"/>
      <c r="F11" s="65"/>
      <c r="G11" s="65" t="s">
        <v>86</v>
      </c>
    </row>
    <row r="12" spans="1:7" ht="13" x14ac:dyDescent="0.3">
      <c r="A12" s="3"/>
      <c r="B12" s="66"/>
      <c r="C12" s="66"/>
      <c r="D12" s="66"/>
      <c r="E12" s="67"/>
      <c r="F12" s="66"/>
      <c r="G12" s="66"/>
    </row>
    <row r="13" spans="1:7" ht="16" customHeight="1" x14ac:dyDescent="0.3">
      <c r="A13" s="1"/>
      <c r="B13" s="76">
        <v>0.01</v>
      </c>
      <c r="C13" s="76">
        <v>0</v>
      </c>
      <c r="D13" s="77">
        <v>1.9199999999999998E-2</v>
      </c>
      <c r="E13" s="70"/>
      <c r="F13" s="76">
        <v>0.01</v>
      </c>
      <c r="G13" s="76">
        <v>407.02</v>
      </c>
    </row>
    <row r="14" spans="1:7" ht="16" customHeight="1" x14ac:dyDescent="0.3">
      <c r="A14" s="1"/>
      <c r="B14" s="76">
        <v>578.53</v>
      </c>
      <c r="C14" s="76">
        <v>11.11</v>
      </c>
      <c r="D14" s="77">
        <v>6.4000000000000001E-2</v>
      </c>
      <c r="E14" s="70"/>
      <c r="F14" s="76">
        <v>1768.97</v>
      </c>
      <c r="G14" s="76">
        <v>406.83</v>
      </c>
    </row>
    <row r="15" spans="1:7" ht="16" customHeight="1" x14ac:dyDescent="0.3">
      <c r="A15" s="1"/>
      <c r="B15" s="76">
        <v>4910.1899999999996</v>
      </c>
      <c r="C15" s="76">
        <v>288.33</v>
      </c>
      <c r="D15" s="77">
        <v>0.10879999999999999</v>
      </c>
      <c r="E15" s="70"/>
      <c r="F15" s="76">
        <v>2653.39</v>
      </c>
      <c r="G15" s="76">
        <v>406.62</v>
      </c>
    </row>
    <row r="16" spans="1:7" ht="16" customHeight="1" x14ac:dyDescent="0.3">
      <c r="A16" s="1"/>
      <c r="B16" s="76">
        <v>8629.2099999999991</v>
      </c>
      <c r="C16" s="76">
        <v>692.96</v>
      </c>
      <c r="D16" s="77">
        <v>0.16</v>
      </c>
      <c r="E16" s="70"/>
      <c r="F16" s="76">
        <v>3472.85</v>
      </c>
      <c r="G16" s="76">
        <v>392.77</v>
      </c>
    </row>
    <row r="17" spans="1:7" ht="16" customHeight="1" x14ac:dyDescent="0.3">
      <c r="A17" s="1"/>
      <c r="B17" s="76">
        <v>10031.08</v>
      </c>
      <c r="C17" s="76">
        <v>917.26</v>
      </c>
      <c r="D17" s="77">
        <v>0.1792</v>
      </c>
      <c r="E17" s="70"/>
      <c r="F17" s="76">
        <v>3537.88</v>
      </c>
      <c r="G17" s="76">
        <v>382.46</v>
      </c>
    </row>
    <row r="18" spans="1:7" ht="16" customHeight="1" x14ac:dyDescent="0.3">
      <c r="A18" s="1"/>
      <c r="B18" s="76">
        <v>12009.95</v>
      </c>
      <c r="C18" s="76">
        <v>1271.8699999999999</v>
      </c>
      <c r="D18" s="77">
        <v>0.21360000000000001</v>
      </c>
      <c r="E18" s="70"/>
      <c r="F18" s="76">
        <v>4446.16</v>
      </c>
      <c r="G18" s="76">
        <v>354.23</v>
      </c>
    </row>
    <row r="19" spans="1:7" ht="16" customHeight="1" x14ac:dyDescent="0.3">
      <c r="A19" s="1"/>
      <c r="B19" s="76">
        <v>24222.32</v>
      </c>
      <c r="C19" s="76">
        <v>3880.44</v>
      </c>
      <c r="D19" s="77">
        <v>0.23519999999999999</v>
      </c>
      <c r="E19" s="63"/>
      <c r="F19" s="76">
        <v>4717.1899999999996</v>
      </c>
      <c r="G19" s="76">
        <v>324.87</v>
      </c>
    </row>
    <row r="20" spans="1:7" ht="16" customHeight="1" x14ac:dyDescent="0.3">
      <c r="A20" s="1"/>
      <c r="B20" s="76">
        <v>38177.699999999997</v>
      </c>
      <c r="C20" s="76">
        <v>7162.74</v>
      </c>
      <c r="D20" s="77">
        <v>0.3</v>
      </c>
      <c r="E20" s="63"/>
      <c r="F20" s="76">
        <v>5335.43</v>
      </c>
      <c r="G20" s="76">
        <v>294.63</v>
      </c>
    </row>
    <row r="21" spans="1:7" ht="13" x14ac:dyDescent="0.3">
      <c r="A21" s="1"/>
      <c r="B21" s="76">
        <v>72887.509999999995</v>
      </c>
      <c r="C21" s="76">
        <v>17575.689999999999</v>
      </c>
      <c r="D21" s="77">
        <v>0.32</v>
      </c>
      <c r="E21" s="63"/>
      <c r="F21" s="76">
        <v>6224.68</v>
      </c>
      <c r="G21" s="76">
        <v>253.54</v>
      </c>
    </row>
    <row r="22" spans="1:7" ht="15" customHeight="1" x14ac:dyDescent="0.3">
      <c r="A22" s="1"/>
      <c r="B22" s="76">
        <v>97183.34</v>
      </c>
      <c r="C22" s="76">
        <v>25350.35</v>
      </c>
      <c r="D22" s="77">
        <v>0.34</v>
      </c>
      <c r="E22" s="63"/>
      <c r="F22" s="78">
        <v>7113.91</v>
      </c>
      <c r="G22" s="78">
        <v>217.61</v>
      </c>
    </row>
    <row r="23" spans="1:7" ht="13" x14ac:dyDescent="0.3">
      <c r="B23" s="76">
        <v>291550.01</v>
      </c>
      <c r="C23" s="76">
        <v>91435.02</v>
      </c>
      <c r="D23" s="77">
        <v>0.35</v>
      </c>
      <c r="E23" s="63"/>
      <c r="F23" s="78">
        <v>7382.34</v>
      </c>
      <c r="G23" s="78">
        <v>0</v>
      </c>
    </row>
    <row r="24" spans="1:7" ht="13" x14ac:dyDescent="0.3">
      <c r="B24" s="71"/>
      <c r="C24" s="71"/>
      <c r="D24" s="72"/>
      <c r="E24" s="63"/>
      <c r="F24" s="73"/>
      <c r="G24" s="73"/>
    </row>
    <row r="25" spans="1:7" ht="13" x14ac:dyDescent="0.3">
      <c r="E25" s="63"/>
      <c r="F25" s="63"/>
      <c r="G25" s="63"/>
    </row>
    <row r="26" spans="1:7" ht="13" x14ac:dyDescent="0.3">
      <c r="B26" s="63"/>
      <c r="C26" s="63"/>
      <c r="D26" s="63"/>
      <c r="E26" s="63"/>
      <c r="F26" s="63"/>
      <c r="G26" s="63"/>
    </row>
    <row r="27" spans="1:7" ht="13" x14ac:dyDescent="0.3">
      <c r="B27" s="63"/>
      <c r="C27" s="63"/>
      <c r="D27" s="63"/>
      <c r="E27" s="63"/>
      <c r="F27" s="63"/>
      <c r="G27" s="63"/>
    </row>
    <row r="28" spans="1:7" ht="13" x14ac:dyDescent="0.3">
      <c r="C28" s="63"/>
      <c r="D28" s="63"/>
      <c r="E28" s="63"/>
      <c r="F28" s="63"/>
      <c r="G28" s="63"/>
    </row>
    <row r="29" spans="1:7" ht="13" x14ac:dyDescent="0.3">
      <c r="C29" s="63"/>
      <c r="D29" s="63"/>
      <c r="E29" s="63"/>
      <c r="F29" s="63"/>
      <c r="G29" s="63"/>
    </row>
    <row r="30" spans="1:7" ht="13" x14ac:dyDescent="0.3">
      <c r="C30" s="63"/>
      <c r="D30" s="63"/>
      <c r="E30" s="63"/>
      <c r="F30" s="63"/>
      <c r="G30" s="63"/>
    </row>
    <row r="31" spans="1:7" ht="13" x14ac:dyDescent="0.3">
      <c r="C31" s="63"/>
      <c r="D31" s="63"/>
      <c r="E31" s="63"/>
      <c r="F31" s="63"/>
      <c r="G31" s="63"/>
    </row>
    <row r="32" spans="1:7" ht="13" x14ac:dyDescent="0.3">
      <c r="B32" s="63"/>
      <c r="C32" s="63"/>
      <c r="D32" s="63"/>
      <c r="E32" s="63"/>
      <c r="F32" s="63"/>
      <c r="G32" s="63"/>
    </row>
    <row r="33" spans="2:7" ht="13" x14ac:dyDescent="0.3">
      <c r="B33" s="64" t="s">
        <v>41</v>
      </c>
      <c r="C33" s="63"/>
      <c r="D33" s="63"/>
    </row>
    <row r="34" spans="2:7" ht="15" x14ac:dyDescent="0.3">
      <c r="B34" s="74" t="s">
        <v>96</v>
      </c>
      <c r="C34" s="63"/>
      <c r="D34" s="63"/>
    </row>
    <row r="35" spans="2:7" ht="13" x14ac:dyDescent="0.3">
      <c r="B35" s="79" t="s">
        <v>71</v>
      </c>
      <c r="C35" s="63"/>
      <c r="D35" s="63"/>
    </row>
    <row r="44" spans="2:7" ht="17.25" customHeight="1" x14ac:dyDescent="0.3">
      <c r="B44" s="61" t="s">
        <v>69</v>
      </c>
      <c r="E44" s="63"/>
      <c r="F44" s="391" t="s">
        <v>88</v>
      </c>
      <c r="G44" s="392"/>
    </row>
    <row r="45" spans="2:7" ht="13" x14ac:dyDescent="0.3">
      <c r="E45" s="63"/>
      <c r="F45" s="394" t="s">
        <v>89</v>
      </c>
      <c r="G45" s="395"/>
    </row>
    <row r="46" spans="2:7" ht="5.25" customHeight="1" x14ac:dyDescent="0.3">
      <c r="E46" s="63"/>
      <c r="F46" s="388"/>
      <c r="G46" s="389"/>
    </row>
    <row r="47" spans="2:7" ht="13" x14ac:dyDescent="0.3">
      <c r="B47" s="390" t="s">
        <v>32</v>
      </c>
      <c r="C47" s="390"/>
      <c r="D47" s="390"/>
      <c r="E47" s="63"/>
      <c r="F47" s="65" t="s">
        <v>38</v>
      </c>
      <c r="G47" s="65" t="s">
        <v>39</v>
      </c>
    </row>
    <row r="48" spans="2:7" ht="13" x14ac:dyDescent="0.3">
      <c r="B48" s="393" t="s">
        <v>31</v>
      </c>
      <c r="C48" s="393"/>
      <c r="D48" s="393"/>
      <c r="E48" s="63"/>
      <c r="F48" s="65"/>
      <c r="G48" s="65" t="s">
        <v>40</v>
      </c>
    </row>
    <row r="49" spans="2:7" ht="13" x14ac:dyDescent="0.3">
      <c r="B49" s="387"/>
      <c r="C49" s="387"/>
      <c r="D49" s="387"/>
      <c r="E49" s="67"/>
      <c r="F49" s="66"/>
      <c r="G49" s="66"/>
    </row>
    <row r="50" spans="2:7" ht="16" customHeight="1" x14ac:dyDescent="0.3">
      <c r="B50" s="65" t="s">
        <v>33</v>
      </c>
      <c r="C50" s="65" t="s">
        <v>35</v>
      </c>
      <c r="D50" s="65" t="s">
        <v>29</v>
      </c>
      <c r="E50" s="70"/>
      <c r="F50" s="68">
        <v>0.01</v>
      </c>
      <c r="G50" s="68">
        <f t="shared" ref="G50:G60" si="0">G13/2</f>
        <v>203.51</v>
      </c>
    </row>
    <row r="51" spans="2:7" ht="16" customHeight="1" x14ac:dyDescent="0.3">
      <c r="B51" s="65" t="s">
        <v>34</v>
      </c>
      <c r="C51" s="65" t="s">
        <v>36</v>
      </c>
      <c r="D51" s="65" t="s">
        <v>37</v>
      </c>
      <c r="E51" s="70"/>
      <c r="F51" s="68">
        <f t="shared" ref="F51:F60" si="1">F14/2</f>
        <v>884.48500000000001</v>
      </c>
      <c r="G51" s="68">
        <f t="shared" si="0"/>
        <v>203.41499999999999</v>
      </c>
    </row>
    <row r="52" spans="2:7" ht="16" customHeight="1" x14ac:dyDescent="0.3">
      <c r="B52" s="66"/>
      <c r="C52" s="66"/>
      <c r="D52" s="66"/>
      <c r="E52" s="70"/>
      <c r="F52" s="68">
        <f t="shared" si="1"/>
        <v>1326.6949999999999</v>
      </c>
      <c r="G52" s="68">
        <f t="shared" si="0"/>
        <v>203.31</v>
      </c>
    </row>
    <row r="53" spans="2:7" ht="16" customHeight="1" x14ac:dyDescent="0.3">
      <c r="B53" s="68">
        <v>0.01</v>
      </c>
      <c r="C53" s="68">
        <v>0</v>
      </c>
      <c r="D53" s="69">
        <f>D13</f>
        <v>1.9199999999999998E-2</v>
      </c>
      <c r="E53" s="70"/>
      <c r="F53" s="68">
        <f t="shared" si="1"/>
        <v>1736.425</v>
      </c>
      <c r="G53" s="68">
        <f t="shared" si="0"/>
        <v>196.38499999999999</v>
      </c>
    </row>
    <row r="54" spans="2:7" ht="16" customHeight="1" x14ac:dyDescent="0.3">
      <c r="B54" s="68">
        <f>B14/2</f>
        <v>289.26499999999999</v>
      </c>
      <c r="C54" s="68">
        <f>C14/2</f>
        <v>5.5549999999999997</v>
      </c>
      <c r="D54" s="69">
        <f>D14</f>
        <v>6.4000000000000001E-2</v>
      </c>
      <c r="E54" s="70"/>
      <c r="F54" s="68">
        <f t="shared" si="1"/>
        <v>1768.94</v>
      </c>
      <c r="G54" s="68">
        <f t="shared" si="0"/>
        <v>191.23</v>
      </c>
    </row>
    <row r="55" spans="2:7" ht="16" customHeight="1" x14ac:dyDescent="0.3">
      <c r="B55" s="68">
        <f t="shared" ref="B55:C63" si="2">B15/2</f>
        <v>2455.0949999999998</v>
      </c>
      <c r="C55" s="68">
        <f t="shared" si="2"/>
        <v>144.16499999999999</v>
      </c>
      <c r="D55" s="69">
        <f t="shared" ref="D55:D63" si="3">D15</f>
        <v>0.10879999999999999</v>
      </c>
      <c r="E55" s="70"/>
      <c r="F55" s="68">
        <f t="shared" si="1"/>
        <v>2223.08</v>
      </c>
      <c r="G55" s="68">
        <f t="shared" si="0"/>
        <v>177.11500000000001</v>
      </c>
    </row>
    <row r="56" spans="2:7" ht="16" customHeight="1" x14ac:dyDescent="0.3">
      <c r="B56" s="68">
        <f t="shared" si="2"/>
        <v>4314.6049999999996</v>
      </c>
      <c r="C56" s="68">
        <f t="shared" si="2"/>
        <v>346.48</v>
      </c>
      <c r="D56" s="69">
        <f t="shared" si="3"/>
        <v>0.16</v>
      </c>
      <c r="E56" s="63"/>
      <c r="F56" s="68">
        <f t="shared" si="1"/>
        <v>2358.5949999999998</v>
      </c>
      <c r="G56" s="68">
        <f t="shared" si="0"/>
        <v>162.435</v>
      </c>
    </row>
    <row r="57" spans="2:7" ht="16" customHeight="1" x14ac:dyDescent="0.3">
      <c r="B57" s="68">
        <f t="shared" si="2"/>
        <v>5015.54</v>
      </c>
      <c r="C57" s="68">
        <f t="shared" si="2"/>
        <v>458.63</v>
      </c>
      <c r="D57" s="69">
        <f t="shared" si="3"/>
        <v>0.1792</v>
      </c>
      <c r="E57" s="63"/>
      <c r="F57" s="68">
        <f t="shared" si="1"/>
        <v>2667.7150000000001</v>
      </c>
      <c r="G57" s="68">
        <f t="shared" si="0"/>
        <v>147.315</v>
      </c>
    </row>
    <row r="58" spans="2:7" ht="16" customHeight="1" x14ac:dyDescent="0.3">
      <c r="B58" s="68">
        <f t="shared" si="2"/>
        <v>6004.9750000000004</v>
      </c>
      <c r="C58" s="68">
        <f t="shared" si="2"/>
        <v>635.93499999999995</v>
      </c>
      <c r="D58" s="69">
        <f t="shared" si="3"/>
        <v>0.21360000000000001</v>
      </c>
      <c r="E58" s="63"/>
      <c r="F58" s="68">
        <f t="shared" si="1"/>
        <v>3112.34</v>
      </c>
      <c r="G58" s="68">
        <f t="shared" si="0"/>
        <v>126.77</v>
      </c>
    </row>
    <row r="59" spans="2:7" ht="16" customHeight="1" x14ac:dyDescent="0.3">
      <c r="B59" s="68">
        <f t="shared" si="2"/>
        <v>12111.16</v>
      </c>
      <c r="C59" s="68">
        <f t="shared" si="2"/>
        <v>1940.22</v>
      </c>
      <c r="D59" s="69">
        <f t="shared" si="3"/>
        <v>0.23519999999999999</v>
      </c>
      <c r="E59" s="63"/>
      <c r="F59" s="68">
        <f t="shared" si="1"/>
        <v>3556.9549999999999</v>
      </c>
      <c r="G59" s="68">
        <f t="shared" si="0"/>
        <v>108.80500000000001</v>
      </c>
    </row>
    <row r="60" spans="2:7" ht="16" customHeight="1" x14ac:dyDescent="0.3">
      <c r="B60" s="68">
        <f t="shared" si="2"/>
        <v>19088.849999999999</v>
      </c>
      <c r="C60" s="68">
        <f t="shared" si="2"/>
        <v>3581.37</v>
      </c>
      <c r="D60" s="69">
        <f t="shared" si="3"/>
        <v>0.3</v>
      </c>
      <c r="E60" s="63"/>
      <c r="F60" s="68">
        <f t="shared" si="1"/>
        <v>3691.17</v>
      </c>
      <c r="G60" s="68">
        <f t="shared" si="0"/>
        <v>0</v>
      </c>
    </row>
    <row r="61" spans="2:7" ht="13" x14ac:dyDescent="0.3">
      <c r="B61" s="68">
        <f t="shared" si="2"/>
        <v>36443.754999999997</v>
      </c>
      <c r="C61" s="68">
        <f t="shared" si="2"/>
        <v>8787.8449999999993</v>
      </c>
      <c r="D61" s="69">
        <f t="shared" si="3"/>
        <v>0.32</v>
      </c>
      <c r="E61" s="63"/>
      <c r="F61" s="73"/>
      <c r="G61" s="73"/>
    </row>
    <row r="62" spans="2:7" ht="13" x14ac:dyDescent="0.3">
      <c r="B62" s="68">
        <f t="shared" si="2"/>
        <v>48591.67</v>
      </c>
      <c r="C62" s="68">
        <f t="shared" si="2"/>
        <v>12675.174999999999</v>
      </c>
      <c r="D62" s="69">
        <f t="shared" si="3"/>
        <v>0.34</v>
      </c>
    </row>
    <row r="63" spans="2:7" ht="13" x14ac:dyDescent="0.3">
      <c r="B63" s="68">
        <f t="shared" si="2"/>
        <v>145775.005</v>
      </c>
      <c r="C63" s="68">
        <f t="shared" si="2"/>
        <v>45717.51</v>
      </c>
      <c r="D63" s="69">
        <f t="shared" si="3"/>
        <v>0.35</v>
      </c>
    </row>
    <row r="64" spans="2:7" ht="13" x14ac:dyDescent="0.3">
      <c r="B64" s="71"/>
      <c r="C64" s="71"/>
      <c r="D64" s="72"/>
    </row>
    <row r="66" spans="2:4" ht="13" x14ac:dyDescent="0.3">
      <c r="B66" s="63"/>
      <c r="C66" s="63"/>
      <c r="D66" s="63"/>
    </row>
    <row r="67" spans="2:4" ht="13" x14ac:dyDescent="0.3">
      <c r="B67" s="63"/>
      <c r="C67" s="63"/>
      <c r="D67" s="63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Q53"/>
  <sheetViews>
    <sheetView showGridLines="0" topLeftCell="A10" zoomScale="82" zoomScaleNormal="82" workbookViewId="0">
      <selection activeCell="E15" sqref="E15:E24"/>
    </sheetView>
  </sheetViews>
  <sheetFormatPr baseColWidth="10" defaultColWidth="11.453125" defaultRowHeight="12.5" x14ac:dyDescent="0.25"/>
  <cols>
    <col min="1" max="1" width="2.54296875" style="52" customWidth="1"/>
    <col min="2" max="2" width="5.54296875" style="52" customWidth="1"/>
    <col min="3" max="3" width="35.1796875" style="126" customWidth="1"/>
    <col min="4" max="4" width="23.453125" style="52" customWidth="1"/>
    <col min="5" max="5" width="28.1796875" style="52" customWidth="1"/>
    <col min="6" max="6" width="13.26953125" style="52" customWidth="1"/>
    <col min="7" max="7" width="7.81640625" style="133" hidden="1" customWidth="1"/>
    <col min="8" max="8" width="14.7265625" style="137" customWidth="1"/>
    <col min="9" max="9" width="11.81640625" style="52" hidden="1" customWidth="1"/>
    <col min="10" max="10" width="12.1796875" style="52" hidden="1" customWidth="1"/>
    <col min="11" max="11" width="11.54296875" style="52" hidden="1" customWidth="1"/>
    <col min="12" max="12" width="12" style="52" hidden="1" customWidth="1"/>
    <col min="13" max="13" width="8.453125" style="52" hidden="1" customWidth="1"/>
    <col min="14" max="14" width="7.26953125" style="52" hidden="1" customWidth="1"/>
    <col min="15" max="15" width="10.7265625" style="52" customWidth="1"/>
    <col min="16" max="16" width="8.7265625" style="52" hidden="1" customWidth="1"/>
    <col min="17" max="17" width="13.1796875" style="52" hidden="1" customWidth="1"/>
    <col min="18" max="18" width="11" style="52" hidden="1" customWidth="1"/>
    <col min="19" max="19" width="12.1796875" style="52" hidden="1" customWidth="1"/>
    <col min="20" max="20" width="11" style="52" hidden="1" customWidth="1"/>
    <col min="21" max="22" width="13.1796875" style="52" hidden="1" customWidth="1"/>
    <col min="23" max="23" width="10.54296875" style="52" hidden="1" customWidth="1"/>
    <col min="24" max="24" width="10.453125" style="52" hidden="1" customWidth="1"/>
    <col min="25" max="25" width="13.1796875" style="52" hidden="1" customWidth="1"/>
    <col min="26" max="26" width="11.54296875" style="52" hidden="1" customWidth="1"/>
    <col min="27" max="27" width="7.7265625" style="52" hidden="1" customWidth="1"/>
    <col min="28" max="28" width="9.26953125" style="52" hidden="1" customWidth="1"/>
    <col min="29" max="29" width="10.54296875" style="52" customWidth="1"/>
    <col min="30" max="30" width="11.26953125" style="52" hidden="1" customWidth="1"/>
    <col min="31" max="31" width="10.453125" style="52" hidden="1" customWidth="1"/>
    <col min="32" max="32" width="12.26953125" style="52" hidden="1" customWidth="1"/>
    <col min="33" max="33" width="11.54296875" style="52" hidden="1" customWidth="1"/>
    <col min="34" max="34" width="10.453125" style="52" customWidth="1"/>
    <col min="35" max="35" width="15" style="52" customWidth="1"/>
    <col min="36" max="36" width="37.1796875" style="52" customWidth="1"/>
    <col min="37" max="16384" width="11.453125" style="52"/>
  </cols>
  <sheetData>
    <row r="3" spans="1:43" x14ac:dyDescent="0.25">
      <c r="B3" s="227"/>
      <c r="C3" s="228"/>
      <c r="D3" s="227"/>
      <c r="E3" s="227"/>
      <c r="F3" s="227"/>
      <c r="G3" s="229"/>
      <c r="H3" s="230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</row>
    <row r="4" spans="1:43" x14ac:dyDescent="0.25">
      <c r="B4" s="227"/>
      <c r="C4" s="228"/>
      <c r="D4" s="227"/>
      <c r="E4" s="227"/>
      <c r="F4" s="227"/>
      <c r="G4" s="229"/>
      <c r="H4" s="230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</row>
    <row r="5" spans="1:43" x14ac:dyDescent="0.25">
      <c r="B5" s="227"/>
      <c r="C5" s="228"/>
      <c r="D5" s="227"/>
      <c r="E5" s="227"/>
      <c r="F5" s="227"/>
      <c r="G5" s="229"/>
      <c r="H5" s="230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</row>
    <row r="6" spans="1:43" x14ac:dyDescent="0.25">
      <c r="B6" s="227"/>
      <c r="C6" s="228"/>
      <c r="D6" s="227"/>
      <c r="E6" s="227"/>
      <c r="F6" s="227"/>
      <c r="G6" s="229"/>
      <c r="H6" s="230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</row>
    <row r="7" spans="1:43" x14ac:dyDescent="0.25">
      <c r="B7" s="227"/>
      <c r="C7" s="228"/>
      <c r="D7" s="227"/>
      <c r="E7" s="227"/>
      <c r="F7" s="227"/>
      <c r="G7" s="229"/>
      <c r="H7" s="230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</row>
    <row r="8" spans="1:43" x14ac:dyDescent="0.25">
      <c r="B8" s="227"/>
      <c r="C8" s="228"/>
      <c r="D8" s="227"/>
      <c r="E8" s="227"/>
      <c r="F8" s="227"/>
      <c r="G8" s="229"/>
      <c r="H8" s="230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</row>
    <row r="9" spans="1:43" ht="30" customHeight="1" x14ac:dyDescent="0.25">
      <c r="B9" s="231"/>
      <c r="C9" s="228"/>
      <c r="D9" s="231"/>
      <c r="E9" s="231"/>
      <c r="F9" s="361" t="s">
        <v>168</v>
      </c>
      <c r="G9" s="232"/>
      <c r="H9" s="233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</row>
    <row r="10" spans="1:43" s="98" customFormat="1" ht="9" customHeight="1" x14ac:dyDescent="0.25">
      <c r="A10" s="52"/>
      <c r="B10" s="234"/>
      <c r="C10" s="234"/>
      <c r="D10" s="234"/>
      <c r="E10" s="234"/>
      <c r="F10" s="234"/>
      <c r="G10" s="235"/>
      <c r="H10" s="236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1"/>
    </row>
    <row r="11" spans="1:43" s="98" customFormat="1" ht="13.5" x14ac:dyDescent="0.25">
      <c r="A11" s="52"/>
      <c r="B11" s="407" t="s">
        <v>336</v>
      </c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P11" s="120"/>
      <c r="AQ11" s="98" t="s">
        <v>207</v>
      </c>
    </row>
    <row r="12" spans="1:43" s="98" customFormat="1" ht="12.75" customHeight="1" x14ac:dyDescent="0.25">
      <c r="A12" s="52"/>
      <c r="B12" s="396" t="s">
        <v>42</v>
      </c>
      <c r="C12" s="396" t="s">
        <v>43</v>
      </c>
      <c r="D12" s="396" t="s">
        <v>101</v>
      </c>
      <c r="E12" s="396" t="s">
        <v>216</v>
      </c>
      <c r="F12" s="396" t="s">
        <v>321</v>
      </c>
      <c r="G12" s="225" t="s">
        <v>9</v>
      </c>
      <c r="H12" s="402" t="s">
        <v>2</v>
      </c>
      <c r="I12" s="403"/>
      <c r="J12" s="403"/>
      <c r="K12" s="403"/>
      <c r="L12" s="403"/>
      <c r="M12" s="403"/>
      <c r="N12" s="403"/>
      <c r="O12" s="404"/>
      <c r="P12" s="159"/>
      <c r="Q12" s="226" t="s">
        <v>48</v>
      </c>
      <c r="R12" s="226"/>
      <c r="S12" s="226" t="s">
        <v>30</v>
      </c>
      <c r="T12" s="226"/>
      <c r="U12" s="226"/>
      <c r="V12" s="226"/>
      <c r="W12" s="226"/>
      <c r="X12" s="226"/>
      <c r="Y12" s="226" t="s">
        <v>54</v>
      </c>
      <c r="Z12" s="226" t="s">
        <v>31</v>
      </c>
      <c r="AA12" s="168"/>
      <c r="AB12" s="159" t="s">
        <v>87</v>
      </c>
      <c r="AC12" s="399" t="s">
        <v>3</v>
      </c>
      <c r="AD12" s="400"/>
      <c r="AE12" s="400"/>
      <c r="AF12" s="400"/>
      <c r="AG12" s="400"/>
      <c r="AH12" s="401"/>
      <c r="AI12" s="396" t="s">
        <v>320</v>
      </c>
      <c r="AJ12" s="237"/>
      <c r="AP12" s="121"/>
      <c r="AQ12" s="98" t="s">
        <v>208</v>
      </c>
    </row>
    <row r="13" spans="1:43" s="98" customFormat="1" ht="13" x14ac:dyDescent="0.25">
      <c r="A13" s="52"/>
      <c r="B13" s="398"/>
      <c r="C13" s="397"/>
      <c r="D13" s="397"/>
      <c r="E13" s="397"/>
      <c r="F13" s="397"/>
      <c r="G13" s="225" t="s">
        <v>45</v>
      </c>
      <c r="H13" s="418" t="s">
        <v>203</v>
      </c>
      <c r="I13" s="159" t="s">
        <v>46</v>
      </c>
      <c r="J13" s="159" t="s">
        <v>46</v>
      </c>
      <c r="K13" s="159" t="s">
        <v>73</v>
      </c>
      <c r="L13" s="159" t="s">
        <v>48</v>
      </c>
      <c r="M13" s="159" t="s">
        <v>50</v>
      </c>
      <c r="N13" s="159" t="s">
        <v>50</v>
      </c>
      <c r="O13" s="396" t="s">
        <v>294</v>
      </c>
      <c r="P13" s="159"/>
      <c r="Q13" s="226" t="s">
        <v>49</v>
      </c>
      <c r="R13" s="226" t="s">
        <v>56</v>
      </c>
      <c r="S13" s="226" t="s">
        <v>33</v>
      </c>
      <c r="T13" s="226" t="s">
        <v>58</v>
      </c>
      <c r="U13" s="226" t="s">
        <v>60</v>
      </c>
      <c r="V13" s="226" t="s">
        <v>61</v>
      </c>
      <c r="W13" s="226" t="s">
        <v>35</v>
      </c>
      <c r="X13" s="226" t="s">
        <v>31</v>
      </c>
      <c r="Y13" s="226" t="s">
        <v>64</v>
      </c>
      <c r="Z13" s="226" t="s">
        <v>65</v>
      </c>
      <c r="AA13" s="168"/>
      <c r="AB13" s="159" t="s">
        <v>55</v>
      </c>
      <c r="AC13" s="159" t="s">
        <v>4</v>
      </c>
      <c r="AD13" s="159" t="s">
        <v>5</v>
      </c>
      <c r="AE13" s="159" t="s">
        <v>54</v>
      </c>
      <c r="AF13" s="159" t="s">
        <v>74</v>
      </c>
      <c r="AG13" s="159" t="s">
        <v>99</v>
      </c>
      <c r="AH13" s="396" t="s">
        <v>318</v>
      </c>
      <c r="AI13" s="397"/>
      <c r="AJ13" s="237"/>
    </row>
    <row r="14" spans="1:43" s="98" customFormat="1" ht="25.5" customHeight="1" x14ac:dyDescent="0.25">
      <c r="A14" s="52"/>
      <c r="B14" s="159"/>
      <c r="C14" s="398"/>
      <c r="D14" s="398"/>
      <c r="E14" s="398"/>
      <c r="F14" s="398"/>
      <c r="G14" s="225"/>
      <c r="H14" s="419"/>
      <c r="I14" s="159" t="s">
        <v>76</v>
      </c>
      <c r="J14" s="159" t="s">
        <v>47</v>
      </c>
      <c r="K14" s="159"/>
      <c r="L14" s="159" t="s">
        <v>49</v>
      </c>
      <c r="M14" s="159" t="s">
        <v>51</v>
      </c>
      <c r="N14" s="159" t="s">
        <v>52</v>
      </c>
      <c r="O14" s="398"/>
      <c r="P14" s="159"/>
      <c r="Q14" s="226" t="s">
        <v>66</v>
      </c>
      <c r="R14" s="226" t="s">
        <v>57</v>
      </c>
      <c r="S14" s="226" t="s">
        <v>34</v>
      </c>
      <c r="T14" s="226" t="s">
        <v>59</v>
      </c>
      <c r="U14" s="226" t="s">
        <v>59</v>
      </c>
      <c r="V14" s="226" t="s">
        <v>62</v>
      </c>
      <c r="W14" s="226" t="s">
        <v>36</v>
      </c>
      <c r="X14" s="226" t="s">
        <v>63</v>
      </c>
      <c r="Y14" s="226" t="s">
        <v>40</v>
      </c>
      <c r="Z14" s="226" t="s">
        <v>94</v>
      </c>
      <c r="AA14" s="168"/>
      <c r="AB14" s="159" t="s">
        <v>86</v>
      </c>
      <c r="AC14" s="159"/>
      <c r="AD14" s="159"/>
      <c r="AE14" s="159" t="s">
        <v>72</v>
      </c>
      <c r="AF14" s="159" t="s">
        <v>75</v>
      </c>
      <c r="AG14" s="159"/>
      <c r="AH14" s="398"/>
      <c r="AI14" s="398"/>
      <c r="AJ14" s="159" t="s">
        <v>100</v>
      </c>
    </row>
    <row r="15" spans="1:43" s="105" customFormat="1" ht="27" customHeight="1" x14ac:dyDescent="0.3">
      <c r="A15" s="103"/>
      <c r="B15" s="160">
        <v>1</v>
      </c>
      <c r="C15" s="161" t="s">
        <v>308</v>
      </c>
      <c r="D15" s="161" t="s">
        <v>169</v>
      </c>
      <c r="E15" s="161"/>
      <c r="F15" s="161">
        <v>15</v>
      </c>
      <c r="G15" s="238"/>
      <c r="H15" s="239">
        <v>8967</v>
      </c>
      <c r="I15" s="240">
        <v>0</v>
      </c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1">
        <f>SUM(H15:N15)</f>
        <v>8967</v>
      </c>
      <c r="P15" s="242"/>
      <c r="Q15" s="241">
        <f t="shared" ref="Q15" si="0">IF(G15=47.16,0,IF(G15&gt;47.16,L15*0.5,0))</f>
        <v>0</v>
      </c>
      <c r="R15" s="241">
        <f t="shared" ref="R15" si="1">H15+I15+J15+M15+Q15+K15</f>
        <v>8967</v>
      </c>
      <c r="S15" s="241">
        <f t="shared" ref="S15" si="2">VLOOKUP(R15,TARIFA1,1)</f>
        <v>6602.71</v>
      </c>
      <c r="T15" s="241">
        <f t="shared" ref="T15" si="3">R15-S15</f>
        <v>2364.29</v>
      </c>
      <c r="U15" s="243">
        <f t="shared" ref="U15" si="4">VLOOKUP(R15,TARIFA1,3)</f>
        <v>0.21360000000000001</v>
      </c>
      <c r="V15" s="241">
        <f t="shared" ref="V15" si="5">T15*U15</f>
        <v>505.01234400000004</v>
      </c>
      <c r="W15" s="241">
        <f t="shared" ref="W15" si="6">VLOOKUP(R15,TARIFA1,2)</f>
        <v>699.3</v>
      </c>
      <c r="X15" s="241">
        <f t="shared" ref="X15" si="7">V15+W15</f>
        <v>1204.3123439999999</v>
      </c>
      <c r="Y15" s="241">
        <f t="shared" ref="Y15" si="8">VLOOKUP(R15,Credito1,2)</f>
        <v>0</v>
      </c>
      <c r="Z15" s="241">
        <f t="shared" ref="Z15" si="9">ROUND(X15-Y15,2)</f>
        <v>1204.31</v>
      </c>
      <c r="AA15" s="244"/>
      <c r="AB15" s="241">
        <f t="shared" ref="AB15" si="10">-IF(Z15&gt;0,0,Z15)</f>
        <v>0</v>
      </c>
      <c r="AC15" s="241">
        <f t="shared" ref="AC15" si="11">IF(Z15&lt;0,0,Z15)</f>
        <v>1204.31</v>
      </c>
      <c r="AD15" s="241">
        <v>0</v>
      </c>
      <c r="AE15" s="240">
        <v>0</v>
      </c>
      <c r="AF15" s="240">
        <v>0</v>
      </c>
      <c r="AG15" s="245">
        <v>0</v>
      </c>
      <c r="AH15" s="241">
        <f t="shared" ref="AH15" si="12">SUM(AC15:AG15)</f>
        <v>1204.31</v>
      </c>
      <c r="AI15" s="241">
        <f t="shared" ref="AI15" si="13">O15+AB15-AH15</f>
        <v>7762.6900000000005</v>
      </c>
      <c r="AJ15" s="241"/>
      <c r="AK15" s="104"/>
    </row>
    <row r="16" spans="1:43" s="105" customFormat="1" ht="24" customHeight="1" x14ac:dyDescent="0.3">
      <c r="A16" s="103"/>
      <c r="B16" s="160">
        <v>2</v>
      </c>
      <c r="C16" s="161" t="s">
        <v>309</v>
      </c>
      <c r="D16" s="161" t="s">
        <v>169</v>
      </c>
      <c r="E16" s="211"/>
      <c r="F16" s="161">
        <v>15</v>
      </c>
      <c r="G16" s="246"/>
      <c r="H16" s="239">
        <v>8967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  <c r="N16" s="240">
        <v>0</v>
      </c>
      <c r="O16" s="241">
        <f>SUM(H16:N16)</f>
        <v>8967</v>
      </c>
      <c r="P16" s="242"/>
      <c r="Q16" s="241">
        <f t="shared" ref="Q16:Q22" si="14">IF(G16=47.16,0,IF(G16&gt;47.16,L16*0.5,0))</f>
        <v>0</v>
      </c>
      <c r="R16" s="241">
        <f t="shared" ref="R16:R22" si="15">H16+I16+J16+M16+Q16+K16</f>
        <v>8967</v>
      </c>
      <c r="S16" s="241">
        <f t="shared" ref="S16:S21" si="16">VLOOKUP(R16,TARIFA1,1)</f>
        <v>6602.71</v>
      </c>
      <c r="T16" s="241">
        <f t="shared" ref="T16:T22" si="17">R16-S16</f>
        <v>2364.29</v>
      </c>
      <c r="U16" s="243">
        <f t="shared" ref="U16:U21" si="18">VLOOKUP(R16,TARIFA1,3)</f>
        <v>0.21360000000000001</v>
      </c>
      <c r="V16" s="241">
        <f t="shared" ref="V16:V22" si="19">T16*U16</f>
        <v>505.01234400000004</v>
      </c>
      <c r="W16" s="241">
        <f t="shared" ref="W16:W21" si="20">VLOOKUP(R16,TARIFA1,2)</f>
        <v>699.3</v>
      </c>
      <c r="X16" s="241">
        <f t="shared" ref="X16:X22" si="21">V16+W16</f>
        <v>1204.3123439999999</v>
      </c>
      <c r="Y16" s="241">
        <f t="shared" ref="Y16:Y21" si="22">VLOOKUP(R16,Credito1,2)</f>
        <v>0</v>
      </c>
      <c r="Z16" s="241">
        <f t="shared" ref="Z16:Z22" si="23">ROUND(X16-Y16,2)</f>
        <v>1204.31</v>
      </c>
      <c r="AA16" s="244"/>
      <c r="AB16" s="241">
        <f t="shared" ref="AB16:AB22" si="24">-IF(Z16&gt;0,0,Z16)</f>
        <v>0</v>
      </c>
      <c r="AC16" s="241">
        <f t="shared" ref="AC16:AC22" si="25">IF(Z16&lt;0,0,Z16)</f>
        <v>1204.31</v>
      </c>
      <c r="AD16" s="241">
        <v>0</v>
      </c>
      <c r="AE16" s="240">
        <v>0</v>
      </c>
      <c r="AF16" s="240">
        <v>0</v>
      </c>
      <c r="AG16" s="245">
        <v>0</v>
      </c>
      <c r="AH16" s="241">
        <f t="shared" ref="AH16:AH22" si="26">SUM(AC16:AG16)</f>
        <v>1204.31</v>
      </c>
      <c r="AI16" s="241">
        <f t="shared" ref="AI16:AI23" si="27">O16+AB16-AH16</f>
        <v>7762.6900000000005</v>
      </c>
      <c r="AJ16" s="241"/>
      <c r="AK16" s="104"/>
    </row>
    <row r="17" spans="1:37" s="105" customFormat="1" ht="24" customHeight="1" x14ac:dyDescent="0.3">
      <c r="A17" s="103"/>
      <c r="B17" s="160">
        <v>3</v>
      </c>
      <c r="C17" s="247" t="s">
        <v>310</v>
      </c>
      <c r="D17" s="161" t="s">
        <v>169</v>
      </c>
      <c r="E17" s="161"/>
      <c r="F17" s="161">
        <v>15</v>
      </c>
      <c r="G17" s="246"/>
      <c r="H17" s="239">
        <v>8967</v>
      </c>
      <c r="I17" s="240">
        <v>0</v>
      </c>
      <c r="J17" s="240">
        <v>0</v>
      </c>
      <c r="K17" s="240">
        <v>0</v>
      </c>
      <c r="L17" s="240">
        <v>0</v>
      </c>
      <c r="M17" s="240">
        <v>0</v>
      </c>
      <c r="N17" s="240">
        <v>0</v>
      </c>
      <c r="O17" s="241">
        <f t="shared" ref="O17:O22" si="28">SUM(H17:N17)</f>
        <v>8967</v>
      </c>
      <c r="P17" s="242"/>
      <c r="Q17" s="241">
        <f t="shared" si="14"/>
        <v>0</v>
      </c>
      <c r="R17" s="241">
        <f t="shared" si="15"/>
        <v>8967</v>
      </c>
      <c r="S17" s="241">
        <f t="shared" si="16"/>
        <v>6602.71</v>
      </c>
      <c r="T17" s="241">
        <f t="shared" si="17"/>
        <v>2364.29</v>
      </c>
      <c r="U17" s="243">
        <f t="shared" si="18"/>
        <v>0.21360000000000001</v>
      </c>
      <c r="V17" s="241">
        <f t="shared" si="19"/>
        <v>505.01234400000004</v>
      </c>
      <c r="W17" s="241">
        <f t="shared" si="20"/>
        <v>699.3</v>
      </c>
      <c r="X17" s="241">
        <f t="shared" si="21"/>
        <v>1204.3123439999999</v>
      </c>
      <c r="Y17" s="241">
        <f t="shared" si="22"/>
        <v>0</v>
      </c>
      <c r="Z17" s="241">
        <f t="shared" si="23"/>
        <v>1204.31</v>
      </c>
      <c r="AA17" s="244"/>
      <c r="AB17" s="241">
        <f t="shared" si="24"/>
        <v>0</v>
      </c>
      <c r="AC17" s="241">
        <f t="shared" si="25"/>
        <v>1204.31</v>
      </c>
      <c r="AD17" s="241">
        <v>0</v>
      </c>
      <c r="AE17" s="240">
        <v>0</v>
      </c>
      <c r="AF17" s="240">
        <v>0</v>
      </c>
      <c r="AG17" s="245">
        <v>0</v>
      </c>
      <c r="AH17" s="241">
        <f t="shared" si="26"/>
        <v>1204.31</v>
      </c>
      <c r="AI17" s="241">
        <f t="shared" si="27"/>
        <v>7762.6900000000005</v>
      </c>
      <c r="AJ17" s="241"/>
      <c r="AK17" s="104"/>
    </row>
    <row r="18" spans="1:37" s="105" customFormat="1" ht="24" customHeight="1" x14ac:dyDescent="0.3">
      <c r="A18" s="103"/>
      <c r="B18" s="160">
        <v>4</v>
      </c>
      <c r="C18" s="247" t="s">
        <v>311</v>
      </c>
      <c r="D18" s="161" t="s">
        <v>169</v>
      </c>
      <c r="E18" s="161"/>
      <c r="F18" s="161">
        <v>15</v>
      </c>
      <c r="G18" s="246"/>
      <c r="H18" s="239">
        <v>8967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  <c r="N18" s="240">
        <v>0</v>
      </c>
      <c r="O18" s="241">
        <f t="shared" si="28"/>
        <v>8967</v>
      </c>
      <c r="P18" s="242"/>
      <c r="Q18" s="241">
        <f t="shared" si="14"/>
        <v>0</v>
      </c>
      <c r="R18" s="241">
        <f t="shared" si="15"/>
        <v>8967</v>
      </c>
      <c r="S18" s="241">
        <f t="shared" si="16"/>
        <v>6602.71</v>
      </c>
      <c r="T18" s="241">
        <f t="shared" si="17"/>
        <v>2364.29</v>
      </c>
      <c r="U18" s="243">
        <f t="shared" si="18"/>
        <v>0.21360000000000001</v>
      </c>
      <c r="V18" s="241">
        <f t="shared" si="19"/>
        <v>505.01234400000004</v>
      </c>
      <c r="W18" s="241">
        <f t="shared" si="20"/>
        <v>699.3</v>
      </c>
      <c r="X18" s="241">
        <f t="shared" si="21"/>
        <v>1204.3123439999999</v>
      </c>
      <c r="Y18" s="241">
        <f t="shared" si="22"/>
        <v>0</v>
      </c>
      <c r="Z18" s="241">
        <f t="shared" si="23"/>
        <v>1204.31</v>
      </c>
      <c r="AA18" s="244"/>
      <c r="AB18" s="241">
        <f t="shared" si="24"/>
        <v>0</v>
      </c>
      <c r="AC18" s="241">
        <f t="shared" si="25"/>
        <v>1204.31</v>
      </c>
      <c r="AD18" s="241">
        <v>0</v>
      </c>
      <c r="AE18" s="240">
        <v>0</v>
      </c>
      <c r="AF18" s="240">
        <v>0</v>
      </c>
      <c r="AG18" s="245">
        <v>0</v>
      </c>
      <c r="AH18" s="241">
        <f t="shared" si="26"/>
        <v>1204.31</v>
      </c>
      <c r="AI18" s="241">
        <f t="shared" si="27"/>
        <v>7762.6900000000005</v>
      </c>
      <c r="AJ18" s="241"/>
      <c r="AK18" s="104"/>
    </row>
    <row r="19" spans="1:37" s="105" customFormat="1" ht="24" customHeight="1" x14ac:dyDescent="0.3">
      <c r="A19" s="103"/>
      <c r="B19" s="160">
        <v>5</v>
      </c>
      <c r="C19" s="247" t="s">
        <v>312</v>
      </c>
      <c r="D19" s="161" t="s">
        <v>169</v>
      </c>
      <c r="E19" s="161"/>
      <c r="F19" s="161">
        <v>15</v>
      </c>
      <c r="G19" s="246"/>
      <c r="H19" s="239">
        <v>8967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1">
        <f>SUM(H19:N19)</f>
        <v>8967</v>
      </c>
      <c r="P19" s="242"/>
      <c r="Q19" s="241">
        <f t="shared" si="14"/>
        <v>0</v>
      </c>
      <c r="R19" s="241">
        <f t="shared" si="15"/>
        <v>8967</v>
      </c>
      <c r="S19" s="241">
        <f>VLOOKUP(R19,TARIFA1,1)</f>
        <v>6602.71</v>
      </c>
      <c r="T19" s="241">
        <f t="shared" si="17"/>
        <v>2364.29</v>
      </c>
      <c r="U19" s="243">
        <f>VLOOKUP(R19,TARIFA1,3)</f>
        <v>0.21360000000000001</v>
      </c>
      <c r="V19" s="241">
        <f t="shared" si="19"/>
        <v>505.01234400000004</v>
      </c>
      <c r="W19" s="241">
        <f>VLOOKUP(R19,TARIFA1,2)</f>
        <v>699.3</v>
      </c>
      <c r="X19" s="241">
        <f t="shared" si="21"/>
        <v>1204.3123439999999</v>
      </c>
      <c r="Y19" s="241">
        <f>VLOOKUP(R19,Credito1,2)</f>
        <v>0</v>
      </c>
      <c r="Z19" s="241">
        <f t="shared" si="23"/>
        <v>1204.31</v>
      </c>
      <c r="AA19" s="244"/>
      <c r="AB19" s="241">
        <f t="shared" si="24"/>
        <v>0</v>
      </c>
      <c r="AC19" s="241">
        <f t="shared" si="25"/>
        <v>1204.31</v>
      </c>
      <c r="AD19" s="241">
        <v>0</v>
      </c>
      <c r="AE19" s="240">
        <v>0</v>
      </c>
      <c r="AF19" s="240">
        <v>0</v>
      </c>
      <c r="AG19" s="245">
        <v>0</v>
      </c>
      <c r="AH19" s="241">
        <f t="shared" si="26"/>
        <v>1204.31</v>
      </c>
      <c r="AI19" s="241">
        <f t="shared" si="27"/>
        <v>7762.6900000000005</v>
      </c>
      <c r="AJ19" s="241"/>
      <c r="AK19" s="104"/>
    </row>
    <row r="20" spans="1:37" s="105" customFormat="1" ht="24" customHeight="1" x14ac:dyDescent="0.3">
      <c r="A20" s="103"/>
      <c r="B20" s="160">
        <v>6</v>
      </c>
      <c r="C20" s="247" t="s">
        <v>313</v>
      </c>
      <c r="D20" s="161" t="s">
        <v>169</v>
      </c>
      <c r="E20" s="161"/>
      <c r="F20" s="161">
        <v>15</v>
      </c>
      <c r="G20" s="246"/>
      <c r="H20" s="239">
        <v>8967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  <c r="N20" s="240">
        <v>0</v>
      </c>
      <c r="O20" s="241">
        <f t="shared" si="28"/>
        <v>8967</v>
      </c>
      <c r="P20" s="242"/>
      <c r="Q20" s="241">
        <f t="shared" si="14"/>
        <v>0</v>
      </c>
      <c r="R20" s="241">
        <f t="shared" si="15"/>
        <v>8967</v>
      </c>
      <c r="S20" s="241">
        <f t="shared" si="16"/>
        <v>6602.71</v>
      </c>
      <c r="T20" s="241">
        <f t="shared" si="17"/>
        <v>2364.29</v>
      </c>
      <c r="U20" s="243">
        <f t="shared" si="18"/>
        <v>0.21360000000000001</v>
      </c>
      <c r="V20" s="241">
        <f t="shared" si="19"/>
        <v>505.01234400000004</v>
      </c>
      <c r="W20" s="241">
        <f t="shared" si="20"/>
        <v>699.3</v>
      </c>
      <c r="X20" s="241">
        <f t="shared" si="21"/>
        <v>1204.3123439999999</v>
      </c>
      <c r="Y20" s="241">
        <f t="shared" si="22"/>
        <v>0</v>
      </c>
      <c r="Z20" s="241">
        <f t="shared" si="23"/>
        <v>1204.31</v>
      </c>
      <c r="AA20" s="244"/>
      <c r="AB20" s="241">
        <f t="shared" si="24"/>
        <v>0</v>
      </c>
      <c r="AC20" s="241">
        <f t="shared" si="25"/>
        <v>1204.31</v>
      </c>
      <c r="AD20" s="241">
        <v>0</v>
      </c>
      <c r="AE20" s="240">
        <v>0</v>
      </c>
      <c r="AF20" s="240">
        <v>0</v>
      </c>
      <c r="AG20" s="245">
        <v>0</v>
      </c>
      <c r="AH20" s="241">
        <f t="shared" si="26"/>
        <v>1204.31</v>
      </c>
      <c r="AI20" s="241">
        <f t="shared" si="27"/>
        <v>7762.6900000000005</v>
      </c>
      <c r="AJ20" s="241"/>
      <c r="AK20" s="104"/>
    </row>
    <row r="21" spans="1:37" s="105" customFormat="1" ht="24" customHeight="1" x14ac:dyDescent="0.3">
      <c r="A21" s="103"/>
      <c r="B21" s="160">
        <v>7</v>
      </c>
      <c r="C21" s="247" t="s">
        <v>314</v>
      </c>
      <c r="D21" s="161" t="s">
        <v>169</v>
      </c>
      <c r="E21" s="161"/>
      <c r="F21" s="161">
        <v>15</v>
      </c>
      <c r="G21" s="246"/>
      <c r="H21" s="239">
        <v>8967</v>
      </c>
      <c r="I21" s="240">
        <v>0</v>
      </c>
      <c r="J21" s="240">
        <v>0</v>
      </c>
      <c r="K21" s="240">
        <v>0</v>
      </c>
      <c r="L21" s="240">
        <v>0</v>
      </c>
      <c r="M21" s="240">
        <v>0</v>
      </c>
      <c r="N21" s="240">
        <v>0</v>
      </c>
      <c r="O21" s="241">
        <f t="shared" si="28"/>
        <v>8967</v>
      </c>
      <c r="P21" s="242"/>
      <c r="Q21" s="241">
        <f t="shared" si="14"/>
        <v>0</v>
      </c>
      <c r="R21" s="241">
        <f t="shared" si="15"/>
        <v>8967</v>
      </c>
      <c r="S21" s="241">
        <f t="shared" si="16"/>
        <v>6602.71</v>
      </c>
      <c r="T21" s="241">
        <f t="shared" si="17"/>
        <v>2364.29</v>
      </c>
      <c r="U21" s="243">
        <f t="shared" si="18"/>
        <v>0.21360000000000001</v>
      </c>
      <c r="V21" s="241">
        <f t="shared" si="19"/>
        <v>505.01234400000004</v>
      </c>
      <c r="W21" s="241">
        <f t="shared" si="20"/>
        <v>699.3</v>
      </c>
      <c r="X21" s="241">
        <f t="shared" si="21"/>
        <v>1204.3123439999999</v>
      </c>
      <c r="Y21" s="241">
        <f t="shared" si="22"/>
        <v>0</v>
      </c>
      <c r="Z21" s="241">
        <f t="shared" si="23"/>
        <v>1204.31</v>
      </c>
      <c r="AA21" s="244"/>
      <c r="AB21" s="241">
        <f t="shared" si="24"/>
        <v>0</v>
      </c>
      <c r="AC21" s="241">
        <f t="shared" si="25"/>
        <v>1204.31</v>
      </c>
      <c r="AD21" s="241">
        <v>0</v>
      </c>
      <c r="AE21" s="240">
        <v>0</v>
      </c>
      <c r="AF21" s="240">
        <v>0</v>
      </c>
      <c r="AG21" s="245">
        <v>0</v>
      </c>
      <c r="AH21" s="241">
        <f t="shared" si="26"/>
        <v>1204.31</v>
      </c>
      <c r="AI21" s="241">
        <f t="shared" si="27"/>
        <v>7762.6900000000005</v>
      </c>
      <c r="AJ21" s="241"/>
      <c r="AK21" s="104"/>
    </row>
    <row r="22" spans="1:37" s="105" customFormat="1" ht="24" customHeight="1" x14ac:dyDescent="0.3">
      <c r="A22" s="103"/>
      <c r="B22" s="160">
        <v>8</v>
      </c>
      <c r="C22" s="247" t="s">
        <v>315</v>
      </c>
      <c r="D22" s="161" t="s">
        <v>169</v>
      </c>
      <c r="E22" s="211"/>
      <c r="F22" s="161">
        <v>15</v>
      </c>
      <c r="G22" s="246"/>
      <c r="H22" s="239">
        <v>8967</v>
      </c>
      <c r="I22" s="240">
        <v>0</v>
      </c>
      <c r="J22" s="240">
        <v>0</v>
      </c>
      <c r="K22" s="240">
        <v>0</v>
      </c>
      <c r="L22" s="240">
        <v>0</v>
      </c>
      <c r="M22" s="240">
        <v>0</v>
      </c>
      <c r="N22" s="240">
        <v>0</v>
      </c>
      <c r="O22" s="241">
        <f t="shared" si="28"/>
        <v>8967</v>
      </c>
      <c r="P22" s="242"/>
      <c r="Q22" s="241">
        <f t="shared" si="14"/>
        <v>0</v>
      </c>
      <c r="R22" s="241">
        <f t="shared" si="15"/>
        <v>8967</v>
      </c>
      <c r="S22" s="241">
        <f>VLOOKUP(R22,TARIFA1,1)</f>
        <v>6602.71</v>
      </c>
      <c r="T22" s="241">
        <f t="shared" si="17"/>
        <v>2364.29</v>
      </c>
      <c r="U22" s="243">
        <f>VLOOKUP(R22,TARIFA1,3)</f>
        <v>0.21360000000000001</v>
      </c>
      <c r="V22" s="241">
        <f t="shared" si="19"/>
        <v>505.01234400000004</v>
      </c>
      <c r="W22" s="241">
        <f>VLOOKUP(R22,TARIFA1,2)</f>
        <v>699.3</v>
      </c>
      <c r="X22" s="241">
        <f t="shared" si="21"/>
        <v>1204.3123439999999</v>
      </c>
      <c r="Y22" s="241">
        <f>VLOOKUP(R22,Credito1,2)</f>
        <v>0</v>
      </c>
      <c r="Z22" s="241">
        <f t="shared" si="23"/>
        <v>1204.31</v>
      </c>
      <c r="AA22" s="244"/>
      <c r="AB22" s="241">
        <f t="shared" si="24"/>
        <v>0</v>
      </c>
      <c r="AC22" s="241">
        <f t="shared" si="25"/>
        <v>1204.31</v>
      </c>
      <c r="AD22" s="241">
        <v>0</v>
      </c>
      <c r="AE22" s="240">
        <v>0</v>
      </c>
      <c r="AF22" s="240">
        <v>0</v>
      </c>
      <c r="AG22" s="245">
        <v>0</v>
      </c>
      <c r="AH22" s="241">
        <f t="shared" si="26"/>
        <v>1204.31</v>
      </c>
      <c r="AI22" s="241">
        <f t="shared" si="27"/>
        <v>7762.6900000000005</v>
      </c>
      <c r="AJ22" s="241"/>
      <c r="AK22" s="104"/>
    </row>
    <row r="23" spans="1:37" s="105" customFormat="1" ht="24" customHeight="1" x14ac:dyDescent="0.3">
      <c r="A23" s="103"/>
      <c r="B23" s="160">
        <v>9</v>
      </c>
      <c r="C23" s="247" t="s">
        <v>316</v>
      </c>
      <c r="D23" s="161" t="s">
        <v>169</v>
      </c>
      <c r="E23" s="161"/>
      <c r="F23" s="161">
        <v>15</v>
      </c>
      <c r="G23" s="246"/>
      <c r="H23" s="239">
        <v>8967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  <c r="N23" s="240">
        <v>0</v>
      </c>
      <c r="O23" s="241">
        <f>SUM(H23:N23)</f>
        <v>8967</v>
      </c>
      <c r="P23" s="242"/>
      <c r="Q23" s="241">
        <f>IF(G24=47.16,0,IF(G24&gt;47.16,L23*0.5,0))</f>
        <v>0</v>
      </c>
      <c r="R23" s="241">
        <f>H23+I23+J23+M23+Q23+K23</f>
        <v>8967</v>
      </c>
      <c r="S23" s="241">
        <f>VLOOKUP(R23,TARIFA1,1)</f>
        <v>6602.71</v>
      </c>
      <c r="T23" s="241">
        <f>R23-S23</f>
        <v>2364.29</v>
      </c>
      <c r="U23" s="243">
        <f>VLOOKUP(R23,TARIFA1,3)</f>
        <v>0.21360000000000001</v>
      </c>
      <c r="V23" s="241">
        <f>T23*U23</f>
        <v>505.01234400000004</v>
      </c>
      <c r="W23" s="241">
        <f>VLOOKUP(R23,TARIFA1,2)</f>
        <v>699.3</v>
      </c>
      <c r="X23" s="241">
        <f>V23+W23</f>
        <v>1204.3123439999999</v>
      </c>
      <c r="Y23" s="241">
        <f>VLOOKUP(R23,Credito1,2)</f>
        <v>0</v>
      </c>
      <c r="Z23" s="241">
        <f>ROUND(X23-Y23,2)</f>
        <v>1204.31</v>
      </c>
      <c r="AA23" s="244"/>
      <c r="AB23" s="241">
        <f>-IF(Z23&gt;0,0,Z23)</f>
        <v>0</v>
      </c>
      <c r="AC23" s="241">
        <f>IF(Z23&lt;0,0,Z23)</f>
        <v>1204.31</v>
      </c>
      <c r="AD23" s="241">
        <v>0</v>
      </c>
      <c r="AE23" s="240">
        <v>0</v>
      </c>
      <c r="AF23" s="240">
        <v>0</v>
      </c>
      <c r="AG23" s="245">
        <v>0</v>
      </c>
      <c r="AH23" s="241">
        <f>SUM(AC23:AG23)</f>
        <v>1204.31</v>
      </c>
      <c r="AI23" s="241">
        <f t="shared" si="27"/>
        <v>7762.6900000000005</v>
      </c>
      <c r="AJ23" s="241"/>
      <c r="AK23" s="104"/>
    </row>
    <row r="24" spans="1:37" s="105" customFormat="1" ht="27.75" customHeight="1" x14ac:dyDescent="0.3">
      <c r="A24" s="103"/>
      <c r="B24" s="160">
        <v>10</v>
      </c>
      <c r="C24" s="247" t="s">
        <v>317</v>
      </c>
      <c r="D24" s="161" t="s">
        <v>170</v>
      </c>
      <c r="E24" s="161"/>
      <c r="F24" s="161">
        <v>15</v>
      </c>
      <c r="G24" s="246"/>
      <c r="H24" s="239">
        <v>8967</v>
      </c>
      <c r="I24" s="240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1">
        <f>SUM(H24:N24)</f>
        <v>8967</v>
      </c>
      <c r="P24" s="242"/>
      <c r="Q24" s="241">
        <f t="shared" ref="Q24" si="29">IF(G24=47.16,0,IF(G24&gt;47.16,L24*0.5,0))</f>
        <v>0</v>
      </c>
      <c r="R24" s="241">
        <f t="shared" ref="R24" si="30">H24+I24+J24+M24+Q24+K24</f>
        <v>8967</v>
      </c>
      <c r="S24" s="241">
        <f t="shared" ref="S24" si="31">VLOOKUP(R24,TARIFA1,1)</f>
        <v>6602.71</v>
      </c>
      <c r="T24" s="241">
        <f t="shared" ref="T24" si="32">R24-S24</f>
        <v>2364.29</v>
      </c>
      <c r="U24" s="243">
        <f t="shared" ref="U24" si="33">VLOOKUP(R24,TARIFA1,3)</f>
        <v>0.21360000000000001</v>
      </c>
      <c r="V24" s="241">
        <f t="shared" ref="V24" si="34">T24*U24</f>
        <v>505.01234400000004</v>
      </c>
      <c r="W24" s="241">
        <f t="shared" ref="W24" si="35">VLOOKUP(R24,TARIFA1,2)</f>
        <v>699.3</v>
      </c>
      <c r="X24" s="241">
        <f t="shared" ref="X24" si="36">V24+W24</f>
        <v>1204.3123439999999</v>
      </c>
      <c r="Y24" s="241">
        <f t="shared" ref="Y24" si="37">VLOOKUP(R24,Credito1,2)</f>
        <v>0</v>
      </c>
      <c r="Z24" s="241">
        <f t="shared" ref="Z24" si="38">ROUND(X24-Y24,2)</f>
        <v>1204.31</v>
      </c>
      <c r="AA24" s="244"/>
      <c r="AB24" s="241">
        <f t="shared" ref="AB24" si="39">-IF(Z24&gt;0,0,Z24)</f>
        <v>0</v>
      </c>
      <c r="AC24" s="241">
        <f t="shared" ref="AC24" si="40">IF(Z24&lt;0,0,Z24)</f>
        <v>1204.31</v>
      </c>
      <c r="AD24" s="241">
        <v>0</v>
      </c>
      <c r="AE24" s="240">
        <v>0</v>
      </c>
      <c r="AF24" s="240">
        <v>0</v>
      </c>
      <c r="AG24" s="245">
        <v>0</v>
      </c>
      <c r="AH24" s="241">
        <f t="shared" ref="AH24" si="41">SUM(AC24:AG24)</f>
        <v>1204.31</v>
      </c>
      <c r="AI24" s="241">
        <f t="shared" ref="AI24" si="42">O24+AB24-AH24</f>
        <v>7762.6900000000005</v>
      </c>
      <c r="AJ24" s="241"/>
      <c r="AK24" s="104"/>
    </row>
    <row r="25" spans="1:37" s="105" customFormat="1" x14ac:dyDescent="0.25">
      <c r="A25" s="103"/>
      <c r="B25" s="408" t="s">
        <v>93</v>
      </c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9"/>
      <c r="AC25" s="409"/>
      <c r="AD25" s="409"/>
      <c r="AE25" s="409"/>
      <c r="AF25" s="409"/>
      <c r="AG25" s="409"/>
      <c r="AH25" s="409"/>
      <c r="AI25" s="409"/>
      <c r="AJ25" s="410"/>
    </row>
    <row r="26" spans="1:37" s="98" customFormat="1" x14ac:dyDescent="0.25">
      <c r="A26" s="52"/>
      <c r="B26" s="411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3"/>
    </row>
    <row r="27" spans="1:37" s="98" customFormat="1" ht="13" x14ac:dyDescent="0.25">
      <c r="A27" s="52"/>
      <c r="B27" s="414" t="s">
        <v>68</v>
      </c>
      <c r="C27" s="415"/>
      <c r="D27" s="415"/>
      <c r="E27" s="415"/>
      <c r="F27" s="416"/>
      <c r="G27" s="225"/>
      <c r="H27" s="248">
        <f>SUM(H15:H24)</f>
        <v>89670</v>
      </c>
      <c r="I27" s="249">
        <f t="shared" ref="I27:AF27" si="43">SUM(I15:I26)</f>
        <v>0</v>
      </c>
      <c r="J27" s="249">
        <f t="shared" si="43"/>
        <v>0</v>
      </c>
      <c r="K27" s="249">
        <f t="shared" si="43"/>
        <v>0</v>
      </c>
      <c r="L27" s="249">
        <f t="shared" si="43"/>
        <v>0</v>
      </c>
      <c r="M27" s="249">
        <f t="shared" si="43"/>
        <v>0</v>
      </c>
      <c r="N27" s="249">
        <f t="shared" si="43"/>
        <v>0</v>
      </c>
      <c r="O27" s="249">
        <f>SUM(O15:O24)</f>
        <v>89670</v>
      </c>
      <c r="P27" s="249"/>
      <c r="Q27" s="249">
        <f t="shared" ref="Q27:Z27" si="44">SUM(Q15:Q24)</f>
        <v>0</v>
      </c>
      <c r="R27" s="249">
        <f t="shared" si="44"/>
        <v>89670</v>
      </c>
      <c r="S27" s="249">
        <f t="shared" si="44"/>
        <v>66027.100000000006</v>
      </c>
      <c r="T27" s="249">
        <f t="shared" si="44"/>
        <v>23642.900000000005</v>
      </c>
      <c r="U27" s="249">
        <f t="shared" si="44"/>
        <v>2.1360000000000001</v>
      </c>
      <c r="V27" s="249">
        <f t="shared" si="44"/>
        <v>5050.1234400000003</v>
      </c>
      <c r="W27" s="249">
        <f t="shared" si="44"/>
        <v>6993.0000000000009</v>
      </c>
      <c r="X27" s="249">
        <f t="shared" si="44"/>
        <v>12043.123439999999</v>
      </c>
      <c r="Y27" s="249">
        <f t="shared" si="44"/>
        <v>0</v>
      </c>
      <c r="Z27" s="249">
        <f t="shared" si="44"/>
        <v>12043.099999999997</v>
      </c>
      <c r="AA27" s="249"/>
      <c r="AB27" s="249">
        <f>SUM(AB15:AB24)</f>
        <v>0</v>
      </c>
      <c r="AC27" s="249">
        <f>SUM(AC15:AC24)</f>
        <v>12043.099999999997</v>
      </c>
      <c r="AD27" s="249">
        <f t="shared" si="43"/>
        <v>0</v>
      </c>
      <c r="AE27" s="249">
        <f t="shared" si="43"/>
        <v>0</v>
      </c>
      <c r="AF27" s="249">
        <f t="shared" si="43"/>
        <v>0</v>
      </c>
      <c r="AG27" s="249">
        <f>SUM(AG15:AG24)</f>
        <v>0</v>
      </c>
      <c r="AH27" s="249">
        <f>SUM(AH15:AH24)</f>
        <v>12043.099999999997</v>
      </c>
      <c r="AI27" s="249">
        <f>SUM(AI15:AI24)</f>
        <v>77626.900000000009</v>
      </c>
      <c r="AJ27" s="237"/>
      <c r="AK27" s="98">
        <f>O27+AB27-AH27</f>
        <v>77626.900000000009</v>
      </c>
    </row>
    <row r="28" spans="1:37" x14ac:dyDescent="0.25">
      <c r="B28" s="228"/>
      <c r="C28" s="228"/>
      <c r="D28" s="228"/>
      <c r="E28" s="228"/>
      <c r="F28" s="228"/>
      <c r="G28" s="250"/>
      <c r="H28" s="251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</row>
    <row r="29" spans="1:37" x14ac:dyDescent="0.25">
      <c r="B29" s="228"/>
      <c r="C29" s="228"/>
      <c r="D29" s="228"/>
      <c r="E29" s="228"/>
      <c r="F29" s="228"/>
      <c r="G29" s="250"/>
      <c r="H29" s="251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51"/>
      <c r="AJ29" s="228"/>
    </row>
    <row r="30" spans="1:37" x14ac:dyDescent="0.25">
      <c r="B30" s="228"/>
      <c r="C30" s="228"/>
      <c r="D30" s="228"/>
      <c r="E30" s="228"/>
      <c r="F30" s="228"/>
      <c r="G30" s="250"/>
      <c r="H30" s="251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</row>
    <row r="31" spans="1:37" x14ac:dyDescent="0.25">
      <c r="B31" s="228"/>
      <c r="C31" s="228"/>
      <c r="D31" s="228"/>
      <c r="E31" s="228"/>
      <c r="F31" s="228"/>
      <c r="G31" s="250"/>
      <c r="H31" s="251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</row>
    <row r="32" spans="1:37" ht="13" thickBot="1" x14ac:dyDescent="0.3">
      <c r="B32" s="228"/>
      <c r="C32" s="252"/>
      <c r="D32" s="252"/>
      <c r="E32" s="228"/>
      <c r="F32" s="228"/>
      <c r="G32" s="250"/>
      <c r="H32" s="251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52"/>
      <c r="AC32" s="252"/>
      <c r="AD32" s="228"/>
      <c r="AE32" s="228"/>
      <c r="AF32" s="228"/>
      <c r="AG32" s="252"/>
      <c r="AH32" s="252"/>
      <c r="AI32" s="252"/>
      <c r="AJ32" s="252"/>
    </row>
    <row r="33" spans="1:36" ht="25.5" customHeight="1" x14ac:dyDescent="0.25">
      <c r="B33" s="228"/>
      <c r="C33" s="417" t="s">
        <v>202</v>
      </c>
      <c r="D33" s="417"/>
      <c r="E33" s="228"/>
      <c r="F33" s="228"/>
      <c r="G33" s="250"/>
      <c r="H33" s="251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405" t="s">
        <v>209</v>
      </c>
      <c r="AC33" s="405"/>
      <c r="AD33" s="405"/>
      <c r="AE33" s="405"/>
      <c r="AF33" s="405"/>
      <c r="AG33" s="405"/>
      <c r="AH33" s="405"/>
      <c r="AI33" s="405"/>
      <c r="AJ33" s="405"/>
    </row>
    <row r="34" spans="1:36" ht="12.75" customHeight="1" x14ac:dyDescent="0.25">
      <c r="A34" s="52" t="s">
        <v>102</v>
      </c>
      <c r="B34" s="228"/>
      <c r="C34" s="405" t="s">
        <v>307</v>
      </c>
      <c r="D34" s="405"/>
      <c r="E34" s="228"/>
      <c r="F34" s="228"/>
      <c r="G34" s="250"/>
      <c r="H34" s="251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406" t="s">
        <v>210</v>
      </c>
      <c r="AC34" s="406"/>
      <c r="AD34" s="406"/>
      <c r="AE34" s="406"/>
      <c r="AF34" s="406"/>
      <c r="AG34" s="406"/>
      <c r="AH34" s="406"/>
      <c r="AI34" s="406"/>
      <c r="AJ34" s="406"/>
    </row>
    <row r="35" spans="1:36" ht="13" x14ac:dyDescent="0.3">
      <c r="D35" s="97"/>
    </row>
    <row r="36" spans="1:36" x14ac:dyDescent="0.25">
      <c r="AI36" s="98"/>
    </row>
    <row r="37" spans="1:36" x14ac:dyDescent="0.25">
      <c r="AC37" s="109"/>
      <c r="AD37" s="109"/>
      <c r="AE37" s="109"/>
      <c r="AF37" s="109"/>
      <c r="AG37" s="109"/>
      <c r="AH37" s="109"/>
      <c r="AI37" s="98"/>
    </row>
    <row r="38" spans="1:36" x14ac:dyDescent="0.25">
      <c r="AC38" s="109"/>
      <c r="AD38" s="109"/>
      <c r="AE38" s="109"/>
      <c r="AF38" s="109"/>
      <c r="AG38" s="109"/>
      <c r="AH38" s="109"/>
      <c r="AI38" s="98"/>
    </row>
    <row r="39" spans="1:36" x14ac:dyDescent="0.25">
      <c r="AC39" s="109"/>
      <c r="AD39" s="109"/>
      <c r="AE39" s="109"/>
      <c r="AF39" s="109"/>
      <c r="AG39" s="109"/>
      <c r="AH39" s="109"/>
      <c r="AI39" s="98"/>
    </row>
    <row r="40" spans="1:36" x14ac:dyDescent="0.25">
      <c r="AC40" s="109"/>
      <c r="AD40" s="109"/>
      <c r="AE40" s="109"/>
      <c r="AF40" s="109"/>
      <c r="AG40" s="109"/>
      <c r="AH40" s="109"/>
      <c r="AI40" s="98"/>
    </row>
    <row r="41" spans="1:36" x14ac:dyDescent="0.25">
      <c r="AC41" s="109"/>
      <c r="AD41" s="109"/>
      <c r="AE41" s="109"/>
      <c r="AF41" s="109"/>
      <c r="AG41" s="109"/>
      <c r="AH41" s="109"/>
      <c r="AI41" s="98"/>
    </row>
    <row r="42" spans="1:36" x14ac:dyDescent="0.25">
      <c r="AC42" s="109"/>
      <c r="AD42" s="109"/>
      <c r="AE42" s="109"/>
      <c r="AF42" s="109"/>
      <c r="AG42" s="109"/>
      <c r="AH42" s="109"/>
      <c r="AI42" s="98"/>
    </row>
    <row r="43" spans="1:36" ht="29.5" x14ac:dyDescent="0.4">
      <c r="C43" s="131" t="s">
        <v>277</v>
      </c>
      <c r="D43" s="132">
        <f>SUM(AI27+BASE!AI112+EVENTUALES!AI167+PENSIONADOS!AI24+Apoyos!G21+Apoyos!G54)</f>
        <v>568476.11999999988</v>
      </c>
      <c r="E43" s="158">
        <f>D43-AI27-BASE!AI112</f>
        <v>277635.52999999991</v>
      </c>
      <c r="AC43" s="109"/>
      <c r="AD43" s="109"/>
      <c r="AE43" s="109"/>
      <c r="AF43" s="109"/>
      <c r="AG43" s="109"/>
      <c r="AH43" s="109"/>
      <c r="AI43" s="98"/>
    </row>
    <row r="44" spans="1:36" x14ac:dyDescent="0.25">
      <c r="AC44" s="109"/>
      <c r="AD44" s="109"/>
      <c r="AE44" s="109"/>
      <c r="AF44" s="109"/>
      <c r="AG44" s="109"/>
      <c r="AH44" s="109"/>
      <c r="AI44" s="98"/>
      <c r="AJ44" s="102"/>
    </row>
    <row r="45" spans="1:36" ht="27.5" x14ac:dyDescent="0.4">
      <c r="C45" s="142" t="s">
        <v>325</v>
      </c>
      <c r="D45" s="143">
        <f>SUM(PROT.CIVIL!AI30,'SEG. PUBLICA'!AI42)</f>
        <v>206182.80999999994</v>
      </c>
      <c r="AC45" s="109"/>
      <c r="AD45" s="109"/>
      <c r="AE45" s="109"/>
      <c r="AF45" s="109"/>
      <c r="AG45" s="109"/>
      <c r="AH45" s="115"/>
      <c r="AI45" s="109"/>
    </row>
    <row r="46" spans="1:36" x14ac:dyDescent="0.25">
      <c r="AC46" s="109"/>
      <c r="AD46" s="109"/>
      <c r="AE46" s="109"/>
      <c r="AF46" s="109"/>
      <c r="AG46" s="109"/>
      <c r="AH46" s="109"/>
      <c r="AI46" s="115"/>
      <c r="AJ46" s="102"/>
    </row>
    <row r="47" spans="1:36" x14ac:dyDescent="0.25">
      <c r="D47" s="158">
        <f>D43+D45</f>
        <v>774658.92999999982</v>
      </c>
      <c r="AC47" s="109"/>
      <c r="AD47" s="109"/>
      <c r="AE47" s="109"/>
      <c r="AF47" s="109"/>
      <c r="AG47" s="109"/>
      <c r="AH47" s="109"/>
      <c r="AI47" s="109"/>
    </row>
    <row r="48" spans="1:36" x14ac:dyDescent="0.25">
      <c r="AC48" s="109"/>
      <c r="AD48" s="109"/>
      <c r="AE48" s="109"/>
      <c r="AF48" s="109"/>
      <c r="AG48" s="109"/>
      <c r="AH48" s="109"/>
      <c r="AI48" s="109"/>
    </row>
    <row r="49" spans="29:36" x14ac:dyDescent="0.25">
      <c r="AC49" s="109"/>
      <c r="AD49" s="109"/>
      <c r="AE49" s="109"/>
      <c r="AF49" s="109"/>
      <c r="AG49" s="109"/>
      <c r="AH49" s="109"/>
      <c r="AI49" s="114"/>
    </row>
    <row r="50" spans="29:36" x14ac:dyDescent="0.25">
      <c r="AC50" s="109"/>
      <c r="AD50" s="109"/>
      <c r="AE50" s="109"/>
      <c r="AF50" s="109"/>
      <c r="AG50" s="109"/>
      <c r="AH50" s="109"/>
      <c r="AI50" s="109"/>
    </row>
    <row r="53" spans="29:36" x14ac:dyDescent="0.25">
      <c r="AJ53" s="102">
        <f>SUM(AJ46:AJ52)</f>
        <v>0</v>
      </c>
    </row>
  </sheetData>
  <mergeCells count="18">
    <mergeCell ref="AB34:AJ34"/>
    <mergeCell ref="B11:AJ11"/>
    <mergeCell ref="B25:AJ26"/>
    <mergeCell ref="B27:F27"/>
    <mergeCell ref="C33:D33"/>
    <mergeCell ref="C34:D34"/>
    <mergeCell ref="B12:B13"/>
    <mergeCell ref="C12:C14"/>
    <mergeCell ref="D12:D14"/>
    <mergeCell ref="E12:E14"/>
    <mergeCell ref="H13:H14"/>
    <mergeCell ref="O13:O14"/>
    <mergeCell ref="AH13:AH14"/>
    <mergeCell ref="AI12:AI14"/>
    <mergeCell ref="F12:F14"/>
    <mergeCell ref="AC12:AH12"/>
    <mergeCell ref="H12:O12"/>
    <mergeCell ref="AB33:AJ33"/>
  </mergeCells>
  <phoneticPr fontId="35" type="noConversion"/>
  <pageMargins left="0.7" right="0.7" top="0.3" bottom="0.75" header="0.3" footer="0.3"/>
  <pageSetup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AQ130"/>
  <sheetViews>
    <sheetView showGridLines="0" topLeftCell="A94" zoomScale="66" zoomScaleNormal="66" workbookViewId="0">
      <selection activeCell="E109" sqref="E109"/>
    </sheetView>
  </sheetViews>
  <sheetFormatPr baseColWidth="10" defaultColWidth="11.453125" defaultRowHeight="12.5" x14ac:dyDescent="0.25"/>
  <cols>
    <col min="1" max="1" width="2.54296875" style="100" customWidth="1"/>
    <col min="2" max="2" width="5.54296875" style="100" customWidth="1"/>
    <col min="3" max="3" width="34.1796875" style="127" customWidth="1"/>
    <col min="4" max="4" width="20.7265625" style="138" customWidth="1"/>
    <col min="5" max="5" width="28.7265625" style="100" customWidth="1"/>
    <col min="6" max="6" width="6.54296875" style="100" customWidth="1"/>
    <col min="7" max="7" width="10.453125" style="100" customWidth="1"/>
    <col min="8" max="8" width="12.81640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8.453125" style="100" hidden="1" customWidth="1"/>
    <col min="14" max="14" width="7.26953125" style="100" hidden="1" customWidth="1"/>
    <col min="15" max="15" width="13.26953125" style="100" customWidth="1"/>
    <col min="16" max="16" width="8.7265625" style="100" hidden="1" customWidth="1"/>
    <col min="17" max="17" width="13.1796875" style="100" hidden="1" customWidth="1"/>
    <col min="18" max="20" width="11" style="100" hidden="1" customWidth="1"/>
    <col min="21" max="22" width="13.1796875" style="100" hidden="1" customWidth="1"/>
    <col min="23" max="23" width="10.54296875" style="100" hidden="1" customWidth="1"/>
    <col min="24" max="24" width="10.4531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8" width="9.26953125" style="100" hidden="1" customWidth="1"/>
    <col min="29" max="29" width="11.4531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" style="100" hidden="1" customWidth="1"/>
    <col min="34" max="34" width="11.81640625" style="100" hidden="1" customWidth="1"/>
    <col min="35" max="35" width="13.453125" style="100" customWidth="1"/>
    <col min="36" max="36" width="30.1796875" style="100" customWidth="1"/>
    <col min="37" max="37" width="11.453125" style="100"/>
    <col min="38" max="38" width="11.453125" style="100" customWidth="1"/>
    <col min="39" max="16384" width="11.453125" style="100"/>
  </cols>
  <sheetData>
    <row r="7" spans="1:43" ht="30" customHeight="1" x14ac:dyDescent="0.25">
      <c r="B7" s="202"/>
      <c r="C7" s="434" t="s">
        <v>107</v>
      </c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255"/>
      <c r="AL7" s="255"/>
    </row>
    <row r="8" spans="1:43" s="99" customFormat="1" ht="9" customHeight="1" x14ac:dyDescent="0.25">
      <c r="A8" s="100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202"/>
      <c r="AK8" s="256"/>
      <c r="AL8" s="256"/>
    </row>
    <row r="9" spans="1:43" s="99" customFormat="1" ht="13.5" x14ac:dyDescent="0.25">
      <c r="A9" s="100"/>
      <c r="B9" s="430" t="str">
        <f>REGIDORES!B11</f>
        <v>NOMINA DEL 01 AL 15 DE DICIEMBRE DEL 2021</v>
      </c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256"/>
      <c r="AL9" s="256"/>
    </row>
    <row r="10" spans="1:43" s="99" customFormat="1" ht="13" x14ac:dyDescent="0.25">
      <c r="A10" s="100"/>
      <c r="B10" s="438"/>
      <c r="C10" s="425"/>
      <c r="D10" s="425"/>
      <c r="E10" s="439"/>
      <c r="F10" s="168" t="s">
        <v>285</v>
      </c>
      <c r="G10" s="168" t="s">
        <v>9</v>
      </c>
      <c r="H10" s="436" t="s">
        <v>2</v>
      </c>
      <c r="I10" s="436"/>
      <c r="J10" s="436"/>
      <c r="K10" s="436"/>
      <c r="L10" s="436"/>
      <c r="M10" s="436"/>
      <c r="N10" s="436"/>
      <c r="O10" s="436"/>
      <c r="P10" s="168"/>
      <c r="Q10" s="168" t="s">
        <v>48</v>
      </c>
      <c r="R10" s="168"/>
      <c r="S10" s="436" t="s">
        <v>30</v>
      </c>
      <c r="T10" s="436"/>
      <c r="U10" s="436"/>
      <c r="V10" s="436"/>
      <c r="W10" s="436"/>
      <c r="X10" s="436"/>
      <c r="Y10" s="168" t="s">
        <v>286</v>
      </c>
      <c r="Z10" s="168" t="s">
        <v>31</v>
      </c>
      <c r="AA10" s="168"/>
      <c r="AB10" s="427" t="s">
        <v>204</v>
      </c>
      <c r="AC10" s="431" t="s">
        <v>3</v>
      </c>
      <c r="AD10" s="432"/>
      <c r="AE10" s="432"/>
      <c r="AF10" s="432"/>
      <c r="AG10" s="432"/>
      <c r="AH10" s="432"/>
      <c r="AI10" s="433"/>
      <c r="AJ10" s="427" t="s">
        <v>100</v>
      </c>
      <c r="AK10" s="256"/>
      <c r="AL10" s="256"/>
    </row>
    <row r="11" spans="1:43" s="99" customFormat="1" ht="13" x14ac:dyDescent="0.25">
      <c r="A11" s="100"/>
      <c r="B11" s="427" t="s">
        <v>287</v>
      </c>
      <c r="C11" s="427" t="s">
        <v>43</v>
      </c>
      <c r="D11" s="427" t="s">
        <v>101</v>
      </c>
      <c r="E11" s="427" t="s">
        <v>216</v>
      </c>
      <c r="F11" s="253" t="s">
        <v>44</v>
      </c>
      <c r="G11" s="168" t="s">
        <v>45</v>
      </c>
      <c r="H11" s="168" t="s">
        <v>9</v>
      </c>
      <c r="I11" s="168" t="s">
        <v>46</v>
      </c>
      <c r="J11" s="168" t="s">
        <v>46</v>
      </c>
      <c r="K11" s="168" t="s">
        <v>73</v>
      </c>
      <c r="L11" s="168" t="s">
        <v>48</v>
      </c>
      <c r="M11" s="168" t="s">
        <v>50</v>
      </c>
      <c r="N11" s="168" t="s">
        <v>50</v>
      </c>
      <c r="O11" s="168" t="s">
        <v>53</v>
      </c>
      <c r="P11" s="168"/>
      <c r="Q11" s="168" t="s">
        <v>49</v>
      </c>
      <c r="R11" s="168" t="s">
        <v>56</v>
      </c>
      <c r="S11" s="168" t="s">
        <v>33</v>
      </c>
      <c r="T11" s="168" t="s">
        <v>58</v>
      </c>
      <c r="U11" s="168" t="s">
        <v>60</v>
      </c>
      <c r="V11" s="168" t="s">
        <v>61</v>
      </c>
      <c r="W11" s="168" t="s">
        <v>35</v>
      </c>
      <c r="X11" s="168" t="s">
        <v>31</v>
      </c>
      <c r="Y11" s="168" t="s">
        <v>64</v>
      </c>
      <c r="Z11" s="168" t="s">
        <v>65</v>
      </c>
      <c r="AA11" s="168"/>
      <c r="AB11" s="428"/>
      <c r="AC11" s="427" t="s">
        <v>4</v>
      </c>
      <c r="AD11" s="168" t="s">
        <v>5</v>
      </c>
      <c r="AE11" s="168" t="s">
        <v>286</v>
      </c>
      <c r="AF11" s="168" t="s">
        <v>74</v>
      </c>
      <c r="AG11" s="168" t="s">
        <v>99</v>
      </c>
      <c r="AH11" s="427" t="s">
        <v>319</v>
      </c>
      <c r="AI11" s="428" t="s">
        <v>320</v>
      </c>
      <c r="AJ11" s="428"/>
      <c r="AK11" s="256"/>
      <c r="AL11" s="256"/>
      <c r="AP11" s="117"/>
      <c r="AQ11" s="105" t="s">
        <v>207</v>
      </c>
    </row>
    <row r="12" spans="1:43" s="99" customFormat="1" ht="12" customHeight="1" x14ac:dyDescent="0.25">
      <c r="A12" s="100"/>
      <c r="B12" s="429"/>
      <c r="C12" s="429"/>
      <c r="D12" s="429"/>
      <c r="E12" s="429"/>
      <c r="F12" s="168"/>
      <c r="G12" s="168"/>
      <c r="H12" s="168" t="s">
        <v>70</v>
      </c>
      <c r="I12" s="168" t="s">
        <v>76</v>
      </c>
      <c r="J12" s="168" t="s">
        <v>47</v>
      </c>
      <c r="K12" s="168"/>
      <c r="L12" s="168" t="s">
        <v>49</v>
      </c>
      <c r="M12" s="168" t="s">
        <v>51</v>
      </c>
      <c r="N12" s="168" t="s">
        <v>52</v>
      </c>
      <c r="O12" s="168" t="s">
        <v>288</v>
      </c>
      <c r="P12" s="168"/>
      <c r="Q12" s="168" t="s">
        <v>66</v>
      </c>
      <c r="R12" s="168" t="s">
        <v>57</v>
      </c>
      <c r="S12" s="168" t="s">
        <v>34</v>
      </c>
      <c r="T12" s="168" t="s">
        <v>59</v>
      </c>
      <c r="U12" s="168" t="s">
        <v>59</v>
      </c>
      <c r="V12" s="168" t="s">
        <v>62</v>
      </c>
      <c r="W12" s="168" t="s">
        <v>36</v>
      </c>
      <c r="X12" s="168" t="s">
        <v>63</v>
      </c>
      <c r="Y12" s="168" t="s">
        <v>40</v>
      </c>
      <c r="Z12" s="168" t="s">
        <v>94</v>
      </c>
      <c r="AA12" s="168"/>
      <c r="AB12" s="429"/>
      <c r="AC12" s="429"/>
      <c r="AD12" s="168"/>
      <c r="AE12" s="168" t="s">
        <v>72</v>
      </c>
      <c r="AF12" s="168" t="s">
        <v>75</v>
      </c>
      <c r="AG12" s="168"/>
      <c r="AH12" s="429"/>
      <c r="AI12" s="429"/>
      <c r="AJ12" s="429"/>
      <c r="AK12" s="256"/>
      <c r="AL12" s="256"/>
      <c r="AP12" s="122"/>
      <c r="AQ12" s="105" t="s">
        <v>208</v>
      </c>
    </row>
    <row r="13" spans="1:43" s="99" customFormat="1" ht="24" customHeight="1" x14ac:dyDescent="0.25">
      <c r="A13" s="100"/>
      <c r="B13" s="426" t="s">
        <v>108</v>
      </c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256"/>
      <c r="AL13" s="256"/>
    </row>
    <row r="14" spans="1:43" s="105" customFormat="1" ht="24" customHeight="1" x14ac:dyDescent="0.25">
      <c r="A14" s="103"/>
      <c r="B14" s="160">
        <v>1</v>
      </c>
      <c r="C14" s="161" t="s">
        <v>433</v>
      </c>
      <c r="D14" s="161" t="s">
        <v>194</v>
      </c>
      <c r="E14" s="211"/>
      <c r="F14" s="161">
        <v>15</v>
      </c>
      <c r="G14" s="257">
        <v>1427.13</v>
      </c>
      <c r="H14" s="241">
        <f>F14*G14</f>
        <v>21406.95</v>
      </c>
      <c r="I14" s="240">
        <v>0</v>
      </c>
      <c r="J14" s="240">
        <v>0</v>
      </c>
      <c r="K14" s="240">
        <v>0</v>
      </c>
      <c r="L14" s="240">
        <v>0</v>
      </c>
      <c r="M14" s="240">
        <v>0</v>
      </c>
      <c r="N14" s="240">
        <v>0</v>
      </c>
      <c r="O14" s="241">
        <f t="shared" ref="O14:O20" si="0">SUM(H14:N14)</f>
        <v>21406.95</v>
      </c>
      <c r="P14" s="242"/>
      <c r="Q14" s="241">
        <f>IF(G14=47.16,0,IF(G14&gt;47.16,L14*0.5,0))</f>
        <v>0</v>
      </c>
      <c r="R14" s="241">
        <f t="shared" ref="R14:R20" si="1">H14+I14+J14+M14+Q14+K14</f>
        <v>21406.95</v>
      </c>
      <c r="S14" s="241">
        <f t="shared" ref="S14:S20" si="2">VLOOKUP(R14,TARIFA1,1)</f>
        <v>20988.91</v>
      </c>
      <c r="T14" s="241">
        <f t="shared" ref="T14:T20" si="3">R14-S14</f>
        <v>418.04000000000087</v>
      </c>
      <c r="U14" s="243">
        <f t="shared" ref="U14:U20" si="4">VLOOKUP(R14,TARIFA1,3)</f>
        <v>0.3</v>
      </c>
      <c r="V14" s="241">
        <f t="shared" ref="V14:V20" si="5">T14*U14</f>
        <v>125.41200000000026</v>
      </c>
      <c r="W14" s="241">
        <f t="shared" ref="W14:W20" si="6">VLOOKUP(R14,TARIFA1,2)</f>
        <v>3937.8</v>
      </c>
      <c r="X14" s="241">
        <f t="shared" ref="X14:X20" si="7">V14+W14</f>
        <v>4063.2120000000004</v>
      </c>
      <c r="Y14" s="241">
        <f t="shared" ref="Y14:Y20" si="8">VLOOKUP(R14,Credito1,2)</f>
        <v>0</v>
      </c>
      <c r="Z14" s="241">
        <f t="shared" ref="Z14:Z20" si="9">ROUND(X14-Y14,2)</f>
        <v>4063.21</v>
      </c>
      <c r="AA14" s="244"/>
      <c r="AB14" s="241">
        <f t="shared" ref="AB14:AB20" si="10">-IF(Z14&gt;0,0,Z14)</f>
        <v>0</v>
      </c>
      <c r="AC14" s="241">
        <f t="shared" ref="AC14:AC20" si="11">IF(Z14&lt;0,0,Z14)</f>
        <v>4063.21</v>
      </c>
      <c r="AD14" s="241">
        <v>0</v>
      </c>
      <c r="AE14" s="240">
        <v>0</v>
      </c>
      <c r="AF14" s="240">
        <v>0</v>
      </c>
      <c r="AG14" s="240">
        <v>0</v>
      </c>
      <c r="AH14" s="241">
        <f t="shared" ref="AH14:AH20" si="12">SUM(AC14:AG14)</f>
        <v>4063.21</v>
      </c>
      <c r="AI14" s="241">
        <f t="shared" ref="AI14:AI20" si="13">O14+AB14-AH14</f>
        <v>17343.740000000002</v>
      </c>
      <c r="AJ14" s="241"/>
      <c r="AK14" s="256"/>
      <c r="AL14" s="256"/>
    </row>
    <row r="15" spans="1:43" s="105" customFormat="1" ht="24" customHeight="1" x14ac:dyDescent="0.25">
      <c r="A15" s="103"/>
      <c r="B15" s="160">
        <v>2</v>
      </c>
      <c r="C15" s="161" t="s">
        <v>352</v>
      </c>
      <c r="D15" s="161" t="s">
        <v>228</v>
      </c>
      <c r="E15" s="211"/>
      <c r="F15" s="161">
        <v>15</v>
      </c>
      <c r="G15" s="257">
        <v>560.13</v>
      </c>
      <c r="H15" s="241">
        <f t="shared" ref="H15:H20" si="14">F15*G15</f>
        <v>8401.9500000000007</v>
      </c>
      <c r="I15" s="240">
        <v>0</v>
      </c>
      <c r="J15" s="240">
        <v>0</v>
      </c>
      <c r="K15" s="240">
        <v>0</v>
      </c>
      <c r="L15" s="240">
        <v>0</v>
      </c>
      <c r="M15" s="240">
        <v>0</v>
      </c>
      <c r="N15" s="240">
        <v>0</v>
      </c>
      <c r="O15" s="241">
        <f t="shared" si="0"/>
        <v>8401.9500000000007</v>
      </c>
      <c r="P15" s="242"/>
      <c r="Q15" s="241">
        <v>0</v>
      </c>
      <c r="R15" s="241">
        <f t="shared" si="1"/>
        <v>8401.9500000000007</v>
      </c>
      <c r="S15" s="241">
        <f t="shared" si="2"/>
        <v>6602.71</v>
      </c>
      <c r="T15" s="241">
        <f t="shared" si="3"/>
        <v>1799.2400000000007</v>
      </c>
      <c r="U15" s="243">
        <f t="shared" si="4"/>
        <v>0.21360000000000001</v>
      </c>
      <c r="V15" s="241">
        <f t="shared" si="5"/>
        <v>384.31766400000015</v>
      </c>
      <c r="W15" s="241">
        <f t="shared" si="6"/>
        <v>699.3</v>
      </c>
      <c r="X15" s="241">
        <f t="shared" si="7"/>
        <v>1083.6176640000001</v>
      </c>
      <c r="Y15" s="241">
        <f t="shared" si="8"/>
        <v>0</v>
      </c>
      <c r="Z15" s="241">
        <f t="shared" si="9"/>
        <v>1083.6199999999999</v>
      </c>
      <c r="AA15" s="244"/>
      <c r="AB15" s="241">
        <f t="shared" si="10"/>
        <v>0</v>
      </c>
      <c r="AC15" s="241">
        <f t="shared" si="11"/>
        <v>1083.6199999999999</v>
      </c>
      <c r="AD15" s="241">
        <v>0</v>
      </c>
      <c r="AE15" s="240">
        <v>0</v>
      </c>
      <c r="AF15" s="240">
        <v>0</v>
      </c>
      <c r="AG15" s="240">
        <v>0</v>
      </c>
      <c r="AH15" s="241">
        <f t="shared" si="12"/>
        <v>1083.6199999999999</v>
      </c>
      <c r="AI15" s="241">
        <f t="shared" si="13"/>
        <v>7318.3300000000008</v>
      </c>
      <c r="AJ15" s="241"/>
      <c r="AK15" s="256"/>
      <c r="AL15" s="256"/>
    </row>
    <row r="16" spans="1:43" s="103" customFormat="1" ht="21" customHeight="1" x14ac:dyDescent="0.25">
      <c r="B16" s="160">
        <v>3</v>
      </c>
      <c r="C16" s="161" t="s">
        <v>289</v>
      </c>
      <c r="D16" s="161" t="s">
        <v>258</v>
      </c>
      <c r="E16" s="161"/>
      <c r="F16" s="161">
        <v>15</v>
      </c>
      <c r="G16" s="257">
        <v>560</v>
      </c>
      <c r="H16" s="241">
        <f t="shared" si="14"/>
        <v>8400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  <c r="N16" s="240">
        <v>0</v>
      </c>
      <c r="O16" s="241">
        <f t="shared" si="0"/>
        <v>8400</v>
      </c>
      <c r="P16" s="242"/>
      <c r="Q16" s="241">
        <f>IF(G16=47.16,0,IF(G16&gt;47.16,L16*0.5,0))</f>
        <v>0</v>
      </c>
      <c r="R16" s="241">
        <f t="shared" si="1"/>
        <v>8400</v>
      </c>
      <c r="S16" s="241">
        <f t="shared" si="2"/>
        <v>6602.71</v>
      </c>
      <c r="T16" s="241">
        <f t="shared" si="3"/>
        <v>1797.29</v>
      </c>
      <c r="U16" s="243">
        <f t="shared" si="4"/>
        <v>0.21360000000000001</v>
      </c>
      <c r="V16" s="241">
        <f t="shared" si="5"/>
        <v>383.90114399999999</v>
      </c>
      <c r="W16" s="241">
        <f t="shared" si="6"/>
        <v>699.3</v>
      </c>
      <c r="X16" s="241">
        <f t="shared" si="7"/>
        <v>1083.2011439999999</v>
      </c>
      <c r="Y16" s="241">
        <f t="shared" si="8"/>
        <v>0</v>
      </c>
      <c r="Z16" s="241">
        <f t="shared" si="9"/>
        <v>1083.2</v>
      </c>
      <c r="AA16" s="244"/>
      <c r="AB16" s="241">
        <f t="shared" si="10"/>
        <v>0</v>
      </c>
      <c r="AC16" s="241">
        <f t="shared" si="11"/>
        <v>1083.2</v>
      </c>
      <c r="AD16" s="241">
        <v>0</v>
      </c>
      <c r="AE16" s="240">
        <v>0</v>
      </c>
      <c r="AF16" s="240">
        <v>0</v>
      </c>
      <c r="AG16" s="245">
        <v>0</v>
      </c>
      <c r="AH16" s="241">
        <f t="shared" si="12"/>
        <v>1083.2</v>
      </c>
      <c r="AI16" s="241">
        <f t="shared" si="13"/>
        <v>7316.8</v>
      </c>
      <c r="AJ16" s="241"/>
      <c r="AK16" s="255"/>
      <c r="AL16" s="255"/>
    </row>
    <row r="17" spans="1:38" s="99" customFormat="1" ht="24" customHeight="1" x14ac:dyDescent="0.25">
      <c r="A17" s="100"/>
      <c r="B17" s="160">
        <v>4</v>
      </c>
      <c r="C17" s="161" t="s">
        <v>381</v>
      </c>
      <c r="D17" s="161" t="s">
        <v>178</v>
      </c>
      <c r="E17" s="211"/>
      <c r="F17" s="161">
        <v>15</v>
      </c>
      <c r="G17" s="257">
        <v>179.13</v>
      </c>
      <c r="H17" s="241">
        <f t="shared" si="14"/>
        <v>2686.95</v>
      </c>
      <c r="I17" s="240">
        <v>0</v>
      </c>
      <c r="J17" s="240">
        <v>0</v>
      </c>
      <c r="K17" s="240">
        <v>0</v>
      </c>
      <c r="L17" s="240">
        <v>0</v>
      </c>
      <c r="M17" s="240">
        <v>0</v>
      </c>
      <c r="N17" s="240">
        <v>0</v>
      </c>
      <c r="O17" s="241">
        <f t="shared" si="0"/>
        <v>2686.95</v>
      </c>
      <c r="P17" s="242"/>
      <c r="Q17" s="241">
        <f>IF(G17=47.16,0,IF(G17&gt;47.16,L17*0.5,0))</f>
        <v>0</v>
      </c>
      <c r="R17" s="241">
        <f t="shared" si="1"/>
        <v>2686.95</v>
      </c>
      <c r="S17" s="241">
        <f t="shared" si="2"/>
        <v>318.01</v>
      </c>
      <c r="T17" s="241">
        <f t="shared" si="3"/>
        <v>2368.9399999999996</v>
      </c>
      <c r="U17" s="243">
        <f t="shared" si="4"/>
        <v>6.4000000000000001E-2</v>
      </c>
      <c r="V17" s="241">
        <f t="shared" si="5"/>
        <v>151.61215999999999</v>
      </c>
      <c r="W17" s="241">
        <f t="shared" si="6"/>
        <v>6.15</v>
      </c>
      <c r="X17" s="241">
        <f t="shared" si="7"/>
        <v>157.76215999999999</v>
      </c>
      <c r="Y17" s="241">
        <f t="shared" si="8"/>
        <v>145.35</v>
      </c>
      <c r="Z17" s="241">
        <f t="shared" si="9"/>
        <v>12.41</v>
      </c>
      <c r="AA17" s="244"/>
      <c r="AB17" s="241">
        <f t="shared" si="10"/>
        <v>0</v>
      </c>
      <c r="AC17" s="241">
        <f t="shared" si="11"/>
        <v>12.41</v>
      </c>
      <c r="AD17" s="241">
        <v>0</v>
      </c>
      <c r="AE17" s="240">
        <v>0</v>
      </c>
      <c r="AF17" s="240">
        <v>0</v>
      </c>
      <c r="AG17" s="245">
        <v>0</v>
      </c>
      <c r="AH17" s="241">
        <f t="shared" si="12"/>
        <v>12.41</v>
      </c>
      <c r="AI17" s="241">
        <f t="shared" si="13"/>
        <v>2674.54</v>
      </c>
      <c r="AJ17" s="241"/>
      <c r="AK17" s="256"/>
      <c r="AL17" s="256"/>
    </row>
    <row r="18" spans="1:38" ht="27" customHeight="1" x14ac:dyDescent="0.25">
      <c r="B18" s="160">
        <v>5</v>
      </c>
      <c r="C18" s="161" t="s">
        <v>402</v>
      </c>
      <c r="D18" s="161" t="s">
        <v>221</v>
      </c>
      <c r="E18" s="211"/>
      <c r="F18" s="161">
        <v>15</v>
      </c>
      <c r="G18" s="257">
        <v>303</v>
      </c>
      <c r="H18" s="241">
        <f t="shared" si="14"/>
        <v>4545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  <c r="N18" s="240">
        <v>0</v>
      </c>
      <c r="O18" s="241">
        <f t="shared" si="0"/>
        <v>4545</v>
      </c>
      <c r="P18" s="242"/>
      <c r="Q18" s="241">
        <v>0</v>
      </c>
      <c r="R18" s="241">
        <f t="shared" si="1"/>
        <v>4545</v>
      </c>
      <c r="S18" s="241">
        <f t="shared" si="2"/>
        <v>2699.41</v>
      </c>
      <c r="T18" s="241">
        <f t="shared" si="3"/>
        <v>1845.5900000000001</v>
      </c>
      <c r="U18" s="243">
        <f t="shared" si="4"/>
        <v>0.10879999999999999</v>
      </c>
      <c r="V18" s="241">
        <f t="shared" si="5"/>
        <v>200.80019200000001</v>
      </c>
      <c r="W18" s="241">
        <f t="shared" si="6"/>
        <v>158.55000000000001</v>
      </c>
      <c r="X18" s="241">
        <f t="shared" si="7"/>
        <v>359.35019199999999</v>
      </c>
      <c r="Y18" s="241">
        <f t="shared" si="8"/>
        <v>0</v>
      </c>
      <c r="Z18" s="241">
        <f t="shared" si="9"/>
        <v>359.35</v>
      </c>
      <c r="AA18" s="244"/>
      <c r="AB18" s="241">
        <f t="shared" si="10"/>
        <v>0</v>
      </c>
      <c r="AC18" s="241">
        <f t="shared" si="11"/>
        <v>359.35</v>
      </c>
      <c r="AD18" s="241">
        <v>0</v>
      </c>
      <c r="AE18" s="240">
        <v>0</v>
      </c>
      <c r="AF18" s="240">
        <v>0</v>
      </c>
      <c r="AG18" s="245">
        <v>0</v>
      </c>
      <c r="AH18" s="241">
        <f t="shared" si="12"/>
        <v>359.35</v>
      </c>
      <c r="AI18" s="241">
        <f t="shared" si="13"/>
        <v>4185.6499999999996</v>
      </c>
      <c r="AJ18" s="241"/>
      <c r="AK18" s="255"/>
      <c r="AL18" s="255"/>
    </row>
    <row r="19" spans="1:38" ht="23.25" customHeight="1" x14ac:dyDescent="0.25">
      <c r="B19" s="160">
        <v>6</v>
      </c>
      <c r="C19" s="161" t="s">
        <v>354</v>
      </c>
      <c r="D19" s="161" t="s">
        <v>238</v>
      </c>
      <c r="E19" s="211"/>
      <c r="F19" s="161">
        <v>15</v>
      </c>
      <c r="G19" s="257">
        <v>266.67</v>
      </c>
      <c r="H19" s="241">
        <f t="shared" si="14"/>
        <v>4000.05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240">
        <v>0</v>
      </c>
      <c r="O19" s="241">
        <f t="shared" si="0"/>
        <v>4000.05</v>
      </c>
      <c r="P19" s="242"/>
      <c r="Q19" s="241">
        <v>0</v>
      </c>
      <c r="R19" s="241">
        <f t="shared" si="1"/>
        <v>4000.05</v>
      </c>
      <c r="S19" s="241">
        <f t="shared" si="2"/>
        <v>2699.41</v>
      </c>
      <c r="T19" s="241">
        <f t="shared" si="3"/>
        <v>1300.6400000000003</v>
      </c>
      <c r="U19" s="243">
        <f t="shared" si="4"/>
        <v>0.10879999999999999</v>
      </c>
      <c r="V19" s="241">
        <f t="shared" si="5"/>
        <v>141.50963200000004</v>
      </c>
      <c r="W19" s="241">
        <f t="shared" si="6"/>
        <v>158.55000000000001</v>
      </c>
      <c r="X19" s="241">
        <f t="shared" si="7"/>
        <v>300.05963200000008</v>
      </c>
      <c r="Y19" s="241">
        <f t="shared" si="8"/>
        <v>0</v>
      </c>
      <c r="Z19" s="241">
        <f t="shared" si="9"/>
        <v>300.06</v>
      </c>
      <c r="AA19" s="244"/>
      <c r="AB19" s="241">
        <f t="shared" si="10"/>
        <v>0</v>
      </c>
      <c r="AC19" s="241">
        <f t="shared" si="11"/>
        <v>300.06</v>
      </c>
      <c r="AD19" s="241">
        <v>0</v>
      </c>
      <c r="AE19" s="240">
        <v>0</v>
      </c>
      <c r="AF19" s="240">
        <v>0</v>
      </c>
      <c r="AG19" s="245">
        <v>0</v>
      </c>
      <c r="AH19" s="241">
        <f t="shared" si="12"/>
        <v>300.06</v>
      </c>
      <c r="AI19" s="241">
        <f t="shared" si="13"/>
        <v>3699.9900000000002</v>
      </c>
      <c r="AJ19" s="241"/>
      <c r="AK19" s="255"/>
      <c r="AL19" s="255"/>
    </row>
    <row r="20" spans="1:38" s="105" customFormat="1" ht="24" customHeight="1" x14ac:dyDescent="0.25">
      <c r="A20" s="103"/>
      <c r="B20" s="160">
        <v>7</v>
      </c>
      <c r="C20" s="161" t="s">
        <v>390</v>
      </c>
      <c r="D20" s="161" t="s">
        <v>193</v>
      </c>
      <c r="E20" s="211"/>
      <c r="F20" s="161">
        <v>15</v>
      </c>
      <c r="G20" s="257">
        <v>233.33</v>
      </c>
      <c r="H20" s="241">
        <f t="shared" si="14"/>
        <v>3499.9500000000003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  <c r="N20" s="240">
        <v>0</v>
      </c>
      <c r="O20" s="241">
        <f t="shared" si="0"/>
        <v>3499.9500000000003</v>
      </c>
      <c r="P20" s="242"/>
      <c r="Q20" s="241">
        <f>IF(G20=47.16,0,IF(G20&gt;47.16,L20*0.5,0))</f>
        <v>0</v>
      </c>
      <c r="R20" s="241">
        <f t="shared" si="1"/>
        <v>3499.9500000000003</v>
      </c>
      <c r="S20" s="241">
        <f t="shared" si="2"/>
        <v>2699.41</v>
      </c>
      <c r="T20" s="241">
        <f t="shared" si="3"/>
        <v>800.54000000000042</v>
      </c>
      <c r="U20" s="243">
        <f t="shared" si="4"/>
        <v>0.10879999999999999</v>
      </c>
      <c r="V20" s="241">
        <f t="shared" si="5"/>
        <v>87.098752000000047</v>
      </c>
      <c r="W20" s="241">
        <f t="shared" si="6"/>
        <v>158.55000000000001</v>
      </c>
      <c r="X20" s="241">
        <f t="shared" si="7"/>
        <v>245.64875200000006</v>
      </c>
      <c r="Y20" s="241">
        <f t="shared" si="8"/>
        <v>125.1</v>
      </c>
      <c r="Z20" s="241">
        <f t="shared" si="9"/>
        <v>120.55</v>
      </c>
      <c r="AA20" s="244"/>
      <c r="AB20" s="241">
        <f t="shared" si="10"/>
        <v>0</v>
      </c>
      <c r="AC20" s="241">
        <f t="shared" si="11"/>
        <v>120.55</v>
      </c>
      <c r="AD20" s="241">
        <v>0</v>
      </c>
      <c r="AE20" s="240">
        <v>0</v>
      </c>
      <c r="AF20" s="240">
        <v>0</v>
      </c>
      <c r="AG20" s="245">
        <v>0</v>
      </c>
      <c r="AH20" s="241">
        <f t="shared" si="12"/>
        <v>120.55</v>
      </c>
      <c r="AI20" s="241">
        <f t="shared" si="13"/>
        <v>3379.4</v>
      </c>
      <c r="AJ20" s="241"/>
      <c r="AK20" s="256"/>
      <c r="AL20" s="256"/>
    </row>
    <row r="21" spans="1:38" s="107" customFormat="1" ht="24" customHeight="1" x14ac:dyDescent="0.3">
      <c r="A21" s="106"/>
      <c r="B21" s="168"/>
      <c r="C21" s="254"/>
      <c r="D21" s="254" t="s">
        <v>244</v>
      </c>
      <c r="E21" s="420"/>
      <c r="F21" s="421"/>
      <c r="G21" s="258"/>
      <c r="H21" s="259">
        <f>SUM(H14:H20)</f>
        <v>52940.85</v>
      </c>
      <c r="I21" s="259">
        <f t="shared" ref="I21:AI21" si="15">SUM(I14:I20)</f>
        <v>0</v>
      </c>
      <c r="J21" s="259">
        <f t="shared" si="15"/>
        <v>0</v>
      </c>
      <c r="K21" s="259">
        <f t="shared" si="15"/>
        <v>0</v>
      </c>
      <c r="L21" s="259">
        <f t="shared" si="15"/>
        <v>0</v>
      </c>
      <c r="M21" s="259">
        <f t="shared" si="15"/>
        <v>0</v>
      </c>
      <c r="N21" s="259">
        <f t="shared" si="15"/>
        <v>0</v>
      </c>
      <c r="O21" s="259">
        <f t="shared" si="15"/>
        <v>52940.85</v>
      </c>
      <c r="P21" s="259">
        <f t="shared" si="15"/>
        <v>0</v>
      </c>
      <c r="Q21" s="259">
        <f t="shared" si="15"/>
        <v>0</v>
      </c>
      <c r="R21" s="259">
        <f t="shared" si="15"/>
        <v>52940.85</v>
      </c>
      <c r="S21" s="259">
        <f t="shared" si="15"/>
        <v>42610.570000000007</v>
      </c>
      <c r="T21" s="259">
        <f t="shared" si="15"/>
        <v>10330.280000000002</v>
      </c>
      <c r="U21" s="259">
        <f t="shared" si="15"/>
        <v>1.1176000000000001</v>
      </c>
      <c r="V21" s="259">
        <f t="shared" si="15"/>
        <v>1474.6515440000003</v>
      </c>
      <c r="W21" s="259">
        <f t="shared" si="15"/>
        <v>5818.2000000000007</v>
      </c>
      <c r="X21" s="259">
        <f t="shared" si="15"/>
        <v>7292.851544000001</v>
      </c>
      <c r="Y21" s="259">
        <f t="shared" si="15"/>
        <v>270.45</v>
      </c>
      <c r="Z21" s="259">
        <f t="shared" si="15"/>
        <v>7022.4000000000005</v>
      </c>
      <c r="AA21" s="259">
        <f t="shared" si="15"/>
        <v>0</v>
      </c>
      <c r="AB21" s="259">
        <f t="shared" si="15"/>
        <v>0</v>
      </c>
      <c r="AC21" s="259">
        <f t="shared" si="15"/>
        <v>7022.4000000000005</v>
      </c>
      <c r="AD21" s="259">
        <f t="shared" si="15"/>
        <v>0</v>
      </c>
      <c r="AE21" s="259">
        <f t="shared" si="15"/>
        <v>0</v>
      </c>
      <c r="AF21" s="259">
        <f t="shared" si="15"/>
        <v>0</v>
      </c>
      <c r="AG21" s="259">
        <f t="shared" si="15"/>
        <v>0</v>
      </c>
      <c r="AH21" s="259">
        <f t="shared" si="15"/>
        <v>7022.4000000000005</v>
      </c>
      <c r="AI21" s="259">
        <f t="shared" si="15"/>
        <v>45918.450000000004</v>
      </c>
      <c r="AJ21" s="259"/>
      <c r="AK21" s="260"/>
      <c r="AL21" s="260">
        <f>O21+AB21-AH21</f>
        <v>45918.45</v>
      </c>
    </row>
    <row r="22" spans="1:38" s="99" customFormat="1" ht="24" customHeight="1" x14ac:dyDescent="0.25">
      <c r="A22" s="100"/>
      <c r="B22" s="422" t="s">
        <v>112</v>
      </c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4"/>
      <c r="AK22" s="256"/>
      <c r="AL22" s="256"/>
    </row>
    <row r="23" spans="1:38" s="105" customFormat="1" ht="24" customHeight="1" x14ac:dyDescent="0.25">
      <c r="A23" s="103"/>
      <c r="B23" s="160">
        <v>8</v>
      </c>
      <c r="C23" s="161" t="s">
        <v>434</v>
      </c>
      <c r="D23" s="161" t="s">
        <v>171</v>
      </c>
      <c r="E23" s="211"/>
      <c r="F23" s="161">
        <v>15</v>
      </c>
      <c r="G23" s="257">
        <v>811.67</v>
      </c>
      <c r="H23" s="241">
        <f>F23*G23</f>
        <v>12175.05</v>
      </c>
      <c r="I23" s="240">
        <v>0</v>
      </c>
      <c r="J23" s="240">
        <v>0</v>
      </c>
      <c r="K23" s="240">
        <v>0</v>
      </c>
      <c r="L23" s="240">
        <v>0</v>
      </c>
      <c r="M23" s="240">
        <v>0</v>
      </c>
      <c r="N23" s="240">
        <v>0</v>
      </c>
      <c r="O23" s="241">
        <f>SUM(H23:N23)</f>
        <v>12175.05</v>
      </c>
      <c r="P23" s="242"/>
      <c r="Q23" s="241">
        <f>IF(G23=47.16,0,IF(G23&gt;47.16,L23*0.5,0))</f>
        <v>0</v>
      </c>
      <c r="R23" s="241">
        <f>H23+I23+J23+M23+Q23+K23</f>
        <v>12175.05</v>
      </c>
      <c r="S23" s="241">
        <f>VLOOKUP(R23,TARIFA1,1)</f>
        <v>6602.71</v>
      </c>
      <c r="T23" s="241">
        <f>R23-S23</f>
        <v>5572.3399999999992</v>
      </c>
      <c r="U23" s="243">
        <f>VLOOKUP(R23,TARIFA1,3)</f>
        <v>0.21360000000000001</v>
      </c>
      <c r="V23" s="241">
        <f>T23*U23</f>
        <v>1190.2518239999999</v>
      </c>
      <c r="W23" s="241">
        <f>VLOOKUP(R23,TARIFA1,2)</f>
        <v>699.3</v>
      </c>
      <c r="X23" s="241">
        <f>V23+W23</f>
        <v>1889.5518239999999</v>
      </c>
      <c r="Y23" s="241">
        <f>VLOOKUP(R23,Credito1,2)</f>
        <v>0</v>
      </c>
      <c r="Z23" s="241">
        <f>ROUND(X23-Y23,2)</f>
        <v>1889.55</v>
      </c>
      <c r="AA23" s="244"/>
      <c r="AB23" s="241">
        <f>-IF(Z23&gt;0,0,Z23)</f>
        <v>0</v>
      </c>
      <c r="AC23" s="241">
        <f>IF(Z23&lt;0,0,Z23)</f>
        <v>1889.55</v>
      </c>
      <c r="AD23" s="241">
        <v>0</v>
      </c>
      <c r="AE23" s="240">
        <v>0</v>
      </c>
      <c r="AF23" s="240">
        <v>0</v>
      </c>
      <c r="AG23" s="245">
        <v>0</v>
      </c>
      <c r="AH23" s="241">
        <f>SUM(AC23:AG23)</f>
        <v>1889.55</v>
      </c>
      <c r="AI23" s="241">
        <f>O23+AB23-AH23</f>
        <v>10285.5</v>
      </c>
      <c r="AJ23" s="241"/>
      <c r="AK23" s="256"/>
      <c r="AL23" s="256"/>
    </row>
    <row r="24" spans="1:38" s="107" customFormat="1" ht="22.5" customHeight="1" x14ac:dyDescent="0.3">
      <c r="A24" s="106"/>
      <c r="B24" s="168"/>
      <c r="C24" s="254"/>
      <c r="D24" s="254" t="s">
        <v>111</v>
      </c>
      <c r="E24" s="254"/>
      <c r="F24" s="254"/>
      <c r="G24" s="258"/>
      <c r="H24" s="259">
        <f t="shared" ref="H24:Z24" si="16">SUM(H23:H23)</f>
        <v>12175.05</v>
      </c>
      <c r="I24" s="259">
        <f t="shared" si="16"/>
        <v>0</v>
      </c>
      <c r="J24" s="259">
        <f t="shared" si="16"/>
        <v>0</v>
      </c>
      <c r="K24" s="259">
        <f t="shared" si="16"/>
        <v>0</v>
      </c>
      <c r="L24" s="259">
        <f t="shared" si="16"/>
        <v>0</v>
      </c>
      <c r="M24" s="259">
        <f t="shared" si="16"/>
        <v>0</v>
      </c>
      <c r="N24" s="259">
        <f t="shared" si="16"/>
        <v>0</v>
      </c>
      <c r="O24" s="259">
        <f t="shared" si="16"/>
        <v>12175.05</v>
      </c>
      <c r="P24" s="259">
        <f t="shared" si="16"/>
        <v>0</v>
      </c>
      <c r="Q24" s="259">
        <f t="shared" si="16"/>
        <v>0</v>
      </c>
      <c r="R24" s="259">
        <f t="shared" si="16"/>
        <v>12175.05</v>
      </c>
      <c r="S24" s="259">
        <f t="shared" si="16"/>
        <v>6602.71</v>
      </c>
      <c r="T24" s="259">
        <f t="shared" si="16"/>
        <v>5572.3399999999992</v>
      </c>
      <c r="U24" s="259">
        <f t="shared" si="16"/>
        <v>0.21360000000000001</v>
      </c>
      <c r="V24" s="259">
        <f t="shared" si="16"/>
        <v>1190.2518239999999</v>
      </c>
      <c r="W24" s="259">
        <f t="shared" si="16"/>
        <v>699.3</v>
      </c>
      <c r="X24" s="259">
        <f t="shared" si="16"/>
        <v>1889.5518239999999</v>
      </c>
      <c r="Y24" s="259">
        <f t="shared" si="16"/>
        <v>0</v>
      </c>
      <c r="Z24" s="259">
        <f t="shared" si="16"/>
        <v>1889.55</v>
      </c>
      <c r="AA24" s="259"/>
      <c r="AB24" s="259">
        <f t="shared" ref="AB24:AI24" si="17">SUM(AB23:AB23)</f>
        <v>0</v>
      </c>
      <c r="AC24" s="259">
        <f t="shared" si="17"/>
        <v>1889.55</v>
      </c>
      <c r="AD24" s="259">
        <f t="shared" si="17"/>
        <v>0</v>
      </c>
      <c r="AE24" s="259">
        <f t="shared" si="17"/>
        <v>0</v>
      </c>
      <c r="AF24" s="259">
        <f t="shared" si="17"/>
        <v>0</v>
      </c>
      <c r="AG24" s="259">
        <f t="shared" si="17"/>
        <v>0</v>
      </c>
      <c r="AH24" s="259">
        <f t="shared" si="17"/>
        <v>1889.55</v>
      </c>
      <c r="AI24" s="259">
        <f t="shared" si="17"/>
        <v>10285.5</v>
      </c>
      <c r="AJ24" s="259"/>
      <c r="AK24" s="260"/>
      <c r="AL24" s="260">
        <f>O24+AB24-AH24</f>
        <v>10285.5</v>
      </c>
    </row>
    <row r="25" spans="1:38" s="103" customFormat="1" ht="22.5" customHeight="1" x14ac:dyDescent="0.25">
      <c r="B25" s="422" t="s">
        <v>172</v>
      </c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4"/>
      <c r="AK25" s="255"/>
      <c r="AL25" s="255"/>
    </row>
    <row r="26" spans="1:38" ht="22.5" customHeight="1" x14ac:dyDescent="0.25">
      <c r="B26" s="160">
        <v>9</v>
      </c>
      <c r="C26" s="161" t="s">
        <v>394</v>
      </c>
      <c r="D26" s="161" t="s">
        <v>113</v>
      </c>
      <c r="E26" s="211"/>
      <c r="F26" s="161">
        <v>15</v>
      </c>
      <c r="G26" s="257">
        <v>400</v>
      </c>
      <c r="H26" s="241">
        <f>F26*G26</f>
        <v>6000</v>
      </c>
      <c r="I26" s="240">
        <v>0</v>
      </c>
      <c r="J26" s="240">
        <v>0</v>
      </c>
      <c r="K26" s="240">
        <v>0</v>
      </c>
      <c r="L26" s="240">
        <v>0</v>
      </c>
      <c r="M26" s="240">
        <v>0</v>
      </c>
      <c r="N26" s="240">
        <v>0</v>
      </c>
      <c r="O26" s="241">
        <f>SUM(H26:N26)</f>
        <v>6000</v>
      </c>
      <c r="P26" s="242"/>
      <c r="Q26" s="241">
        <f>IF(G26=47.16,0,IF(G26&gt;47.16,L26*0.5,0))</f>
        <v>0</v>
      </c>
      <c r="R26" s="241">
        <f>H26+I26+J26+M26+Q26+K26</f>
        <v>6000</v>
      </c>
      <c r="S26" s="241">
        <f>VLOOKUP(R26,TARIFA1,1)</f>
        <v>5514.76</v>
      </c>
      <c r="T26" s="241">
        <f>R26-S26</f>
        <v>485.23999999999978</v>
      </c>
      <c r="U26" s="243">
        <f>VLOOKUP(R26,TARIFA1,3)</f>
        <v>0.1792</v>
      </c>
      <c r="V26" s="241">
        <f>T26*U26</f>
        <v>86.955007999999964</v>
      </c>
      <c r="W26" s="241">
        <f>VLOOKUP(R26,TARIFA1,2)</f>
        <v>504.3</v>
      </c>
      <c r="X26" s="241">
        <f>V26+W26</f>
        <v>591.25500799999998</v>
      </c>
      <c r="Y26" s="241">
        <f>VLOOKUP(R26,Credito1,2)</f>
        <v>0</v>
      </c>
      <c r="Z26" s="241">
        <f>ROUND(X26-Y26,2)</f>
        <v>591.26</v>
      </c>
      <c r="AA26" s="244"/>
      <c r="AB26" s="241">
        <f>-IF(Z26&gt;0,0,Z26)</f>
        <v>0</v>
      </c>
      <c r="AC26" s="241">
        <f>IF(Z26&lt;0,0,Z26)</f>
        <v>591.26</v>
      </c>
      <c r="AD26" s="241">
        <v>0</v>
      </c>
      <c r="AE26" s="240">
        <v>0</v>
      </c>
      <c r="AF26" s="240">
        <v>0</v>
      </c>
      <c r="AG26" s="245">
        <v>0</v>
      </c>
      <c r="AH26" s="241">
        <f>SUM(AC26:AG26)</f>
        <v>591.26</v>
      </c>
      <c r="AI26" s="241">
        <f>O26+AB26-AH26</f>
        <v>5408.74</v>
      </c>
      <c r="AJ26" s="241"/>
      <c r="AK26" s="255"/>
      <c r="AL26" s="255"/>
    </row>
    <row r="27" spans="1:38" ht="22.5" customHeight="1" x14ac:dyDescent="0.25">
      <c r="B27" s="160">
        <v>10</v>
      </c>
      <c r="C27" s="161" t="s">
        <v>506</v>
      </c>
      <c r="D27" s="161" t="s">
        <v>121</v>
      </c>
      <c r="E27" s="211"/>
      <c r="F27" s="161">
        <v>15</v>
      </c>
      <c r="G27" s="257">
        <v>166.67</v>
      </c>
      <c r="H27" s="241">
        <f>F27*G27</f>
        <v>2500.0499999999997</v>
      </c>
      <c r="I27" s="240">
        <v>0</v>
      </c>
      <c r="J27" s="240">
        <v>0</v>
      </c>
      <c r="K27" s="240"/>
      <c r="L27" s="240">
        <v>0</v>
      </c>
      <c r="M27" s="240">
        <v>0</v>
      </c>
      <c r="N27" s="240">
        <v>0</v>
      </c>
      <c r="O27" s="241">
        <f>SUM(H27:N27)</f>
        <v>2500.0499999999997</v>
      </c>
      <c r="P27" s="242"/>
      <c r="Q27" s="241">
        <v>0</v>
      </c>
      <c r="R27" s="241">
        <f>H27+I27+J27+M27+Q27+K27</f>
        <v>2500.0499999999997</v>
      </c>
      <c r="S27" s="241">
        <f>VLOOKUP(R27,TARIFA1,1)</f>
        <v>318.01</v>
      </c>
      <c r="T27" s="241">
        <f>R27-S27</f>
        <v>2182.04</v>
      </c>
      <c r="U27" s="243">
        <f>VLOOKUP(R27,TARIFA1,3)</f>
        <v>6.4000000000000001E-2</v>
      </c>
      <c r="V27" s="241">
        <f>T27*U27</f>
        <v>139.65056000000001</v>
      </c>
      <c r="W27" s="241">
        <f>VLOOKUP(R27,TARIFA1,2)</f>
        <v>6.15</v>
      </c>
      <c r="X27" s="241">
        <f>V27+W27</f>
        <v>145.80056000000002</v>
      </c>
      <c r="Y27" s="241">
        <f>VLOOKUP(R27,Credito1,2)</f>
        <v>160.35</v>
      </c>
      <c r="Z27" s="241">
        <f>ROUND(X27-Y27,2)</f>
        <v>-14.55</v>
      </c>
      <c r="AA27" s="244"/>
      <c r="AB27" s="241">
        <f>-IF(Z27&gt;0,0,Z27)</f>
        <v>14.55</v>
      </c>
      <c r="AC27" s="241">
        <f>IF(Z27&lt;0,0,Z27)</f>
        <v>0</v>
      </c>
      <c r="AD27" s="241">
        <v>0</v>
      </c>
      <c r="AE27" s="240">
        <v>0</v>
      </c>
      <c r="AF27" s="240">
        <v>0</v>
      </c>
      <c r="AG27" s="245">
        <v>0</v>
      </c>
      <c r="AH27" s="241">
        <f>SUM(AC27:AG27)</f>
        <v>0</v>
      </c>
      <c r="AI27" s="241">
        <f>O27+AB27-AH27</f>
        <v>2514.6</v>
      </c>
      <c r="AJ27" s="241"/>
      <c r="AK27" s="255"/>
      <c r="AL27" s="255"/>
    </row>
    <row r="28" spans="1:38" s="103" customFormat="1" ht="21" customHeight="1" x14ac:dyDescent="0.25">
      <c r="B28" s="160"/>
      <c r="C28" s="161"/>
      <c r="D28" s="254" t="s">
        <v>111</v>
      </c>
      <c r="E28" s="420"/>
      <c r="F28" s="421"/>
      <c r="G28" s="258"/>
      <c r="H28" s="259">
        <f>SUM(H26:H27)</f>
        <v>8500.0499999999993</v>
      </c>
      <c r="I28" s="259">
        <f t="shared" ref="I28:AI28" si="18">SUM(I26:I27)</f>
        <v>0</v>
      </c>
      <c r="J28" s="259">
        <f t="shared" si="18"/>
        <v>0</v>
      </c>
      <c r="K28" s="259">
        <f t="shared" si="18"/>
        <v>0</v>
      </c>
      <c r="L28" s="259">
        <f t="shared" si="18"/>
        <v>0</v>
      </c>
      <c r="M28" s="259">
        <f t="shared" si="18"/>
        <v>0</v>
      </c>
      <c r="N28" s="259">
        <f t="shared" si="18"/>
        <v>0</v>
      </c>
      <c r="O28" s="259">
        <f t="shared" si="18"/>
        <v>8500.0499999999993</v>
      </c>
      <c r="P28" s="259">
        <f t="shared" si="18"/>
        <v>0</v>
      </c>
      <c r="Q28" s="259">
        <f t="shared" si="18"/>
        <v>0</v>
      </c>
      <c r="R28" s="259">
        <f t="shared" si="18"/>
        <v>8500.0499999999993</v>
      </c>
      <c r="S28" s="259">
        <f t="shared" si="18"/>
        <v>5832.77</v>
      </c>
      <c r="T28" s="259">
        <f t="shared" si="18"/>
        <v>2667.2799999999997</v>
      </c>
      <c r="U28" s="259">
        <f t="shared" si="18"/>
        <v>0.2432</v>
      </c>
      <c r="V28" s="259">
        <f t="shared" si="18"/>
        <v>226.60556799999998</v>
      </c>
      <c r="W28" s="259">
        <f t="shared" si="18"/>
        <v>510.45</v>
      </c>
      <c r="X28" s="259">
        <f t="shared" si="18"/>
        <v>737.05556799999999</v>
      </c>
      <c r="Y28" s="259">
        <f t="shared" si="18"/>
        <v>160.35</v>
      </c>
      <c r="Z28" s="259">
        <f t="shared" si="18"/>
        <v>576.71</v>
      </c>
      <c r="AA28" s="259">
        <f t="shared" si="18"/>
        <v>0</v>
      </c>
      <c r="AB28" s="259">
        <f t="shared" si="18"/>
        <v>14.55</v>
      </c>
      <c r="AC28" s="259">
        <f t="shared" si="18"/>
        <v>591.26</v>
      </c>
      <c r="AD28" s="259">
        <f t="shared" si="18"/>
        <v>0</v>
      </c>
      <c r="AE28" s="259">
        <f t="shared" si="18"/>
        <v>0</v>
      </c>
      <c r="AF28" s="259">
        <f t="shared" si="18"/>
        <v>0</v>
      </c>
      <c r="AG28" s="259">
        <f t="shared" si="18"/>
        <v>0</v>
      </c>
      <c r="AH28" s="259">
        <f t="shared" si="18"/>
        <v>591.26</v>
      </c>
      <c r="AI28" s="259">
        <f t="shared" si="18"/>
        <v>7923.34</v>
      </c>
      <c r="AJ28" s="241"/>
      <c r="AK28" s="255"/>
      <c r="AL28" s="261">
        <f>O28+AB28-AH28</f>
        <v>7923.3399999999983</v>
      </c>
    </row>
    <row r="29" spans="1:38" ht="27.75" customHeight="1" x14ac:dyDescent="0.25">
      <c r="B29" s="422" t="s">
        <v>114</v>
      </c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4"/>
      <c r="AK29" s="255"/>
      <c r="AL29" s="255"/>
    </row>
    <row r="30" spans="1:38" s="103" customFormat="1" ht="25.5" customHeight="1" x14ac:dyDescent="0.25">
      <c r="A30" s="103" t="s">
        <v>102</v>
      </c>
      <c r="B30" s="160">
        <v>11</v>
      </c>
      <c r="C30" s="161" t="s">
        <v>516</v>
      </c>
      <c r="D30" s="161" t="s">
        <v>113</v>
      </c>
      <c r="E30" s="211"/>
      <c r="F30" s="161">
        <v>15</v>
      </c>
      <c r="G30" s="257">
        <v>303</v>
      </c>
      <c r="H30" s="241">
        <f>F30*G30</f>
        <v>4545</v>
      </c>
      <c r="I30" s="240">
        <v>0</v>
      </c>
      <c r="J30" s="240">
        <v>0</v>
      </c>
      <c r="K30" s="240">
        <v>0</v>
      </c>
      <c r="L30" s="240">
        <v>0</v>
      </c>
      <c r="M30" s="240">
        <v>0</v>
      </c>
      <c r="N30" s="240">
        <v>0</v>
      </c>
      <c r="O30" s="241">
        <f>SUM(H30:N30)</f>
        <v>4545</v>
      </c>
      <c r="P30" s="242"/>
      <c r="Q30" s="241">
        <f>IF(G30=47.16,0,IF(G30&gt;47.16,L30*0.5,0))</f>
        <v>0</v>
      </c>
      <c r="R30" s="241">
        <f>H30+I30+J30+M30+Q30+K30</f>
        <v>4545</v>
      </c>
      <c r="S30" s="241">
        <f>VLOOKUP(R30,TARIFA1,1)</f>
        <v>2699.41</v>
      </c>
      <c r="T30" s="241">
        <f>R30-S30</f>
        <v>1845.5900000000001</v>
      </c>
      <c r="U30" s="243">
        <f>VLOOKUP(R30,TARIFA1,3)</f>
        <v>0.10879999999999999</v>
      </c>
      <c r="V30" s="241">
        <f>T30*U30</f>
        <v>200.80019200000001</v>
      </c>
      <c r="W30" s="241">
        <f>VLOOKUP(R30,TARIFA1,2)</f>
        <v>158.55000000000001</v>
      </c>
      <c r="X30" s="241">
        <f>V30+W30</f>
        <v>359.35019199999999</v>
      </c>
      <c r="Y30" s="241">
        <f>VLOOKUP(R30,Credito1,2)</f>
        <v>0</v>
      </c>
      <c r="Z30" s="241">
        <f>ROUND(X30-Y30,2)</f>
        <v>359.35</v>
      </c>
      <c r="AA30" s="244"/>
      <c r="AB30" s="241">
        <f>-IF(Z30&gt;0,0,Z30)</f>
        <v>0</v>
      </c>
      <c r="AC30" s="241">
        <f>IF(Z30&lt;0,0,Z30)</f>
        <v>359.35</v>
      </c>
      <c r="AD30" s="241">
        <v>0</v>
      </c>
      <c r="AE30" s="240">
        <v>0</v>
      </c>
      <c r="AF30" s="240">
        <v>0</v>
      </c>
      <c r="AG30" s="245">
        <v>0</v>
      </c>
      <c r="AH30" s="241">
        <f>SUM(AC30:AG30)</f>
        <v>359.35</v>
      </c>
      <c r="AI30" s="241">
        <f>O30+AB30-AH30</f>
        <v>4185.6499999999996</v>
      </c>
      <c r="AJ30" s="241"/>
      <c r="AK30" s="255"/>
      <c r="AL30" s="255"/>
    </row>
    <row r="31" spans="1:38" ht="25.5" customHeight="1" x14ac:dyDescent="0.25">
      <c r="B31" s="160">
        <v>12</v>
      </c>
      <c r="C31" s="161" t="s">
        <v>366</v>
      </c>
      <c r="D31" s="161" t="s">
        <v>115</v>
      </c>
      <c r="E31" s="262"/>
      <c r="F31" s="161">
        <v>15</v>
      </c>
      <c r="G31" s="257">
        <v>199.93</v>
      </c>
      <c r="H31" s="241">
        <f t="shared" ref="H31:H33" si="19">F31*G31</f>
        <v>2998.9500000000003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1">
        <f>SUM(H31:N31)</f>
        <v>2998.9500000000003</v>
      </c>
      <c r="P31" s="242"/>
      <c r="Q31" s="241">
        <f>IF(G31=47.16,0,IF(G31&gt;47.16,L31*0.5,0))</f>
        <v>0</v>
      </c>
      <c r="R31" s="241">
        <f>H31+I31+J31+M31+Q31+K31</f>
        <v>2998.9500000000003</v>
      </c>
      <c r="S31" s="241">
        <f>VLOOKUP(R31,TARIFA1,1)</f>
        <v>2699.41</v>
      </c>
      <c r="T31" s="241">
        <f>R31-S31</f>
        <v>299.54000000000042</v>
      </c>
      <c r="U31" s="243">
        <f>VLOOKUP(R31,TARIFA1,3)</f>
        <v>0.10879999999999999</v>
      </c>
      <c r="V31" s="241">
        <f>T31*U31</f>
        <v>32.589952000000046</v>
      </c>
      <c r="W31" s="241">
        <f>VLOOKUP(R31,TARIFA1,2)</f>
        <v>158.55000000000001</v>
      </c>
      <c r="X31" s="241">
        <f>V31+W31</f>
        <v>191.13995200000005</v>
      </c>
      <c r="Y31" s="241">
        <f>VLOOKUP(R31,Credito1,2)</f>
        <v>145.35</v>
      </c>
      <c r="Z31" s="241">
        <f>ROUND(X31-Y31,2)</f>
        <v>45.79</v>
      </c>
      <c r="AA31" s="244"/>
      <c r="AB31" s="241">
        <f>-IF(Z31&gt;0,0,Z31)</f>
        <v>0</v>
      </c>
      <c r="AC31" s="241">
        <f>IF(Z31&lt;0,0,Z31)</f>
        <v>45.79</v>
      </c>
      <c r="AD31" s="241">
        <v>0</v>
      </c>
      <c r="AE31" s="240">
        <v>0</v>
      </c>
      <c r="AF31" s="240">
        <v>0</v>
      </c>
      <c r="AG31" s="245">
        <v>0</v>
      </c>
      <c r="AH31" s="241">
        <f>SUM(AC31:AG31)</f>
        <v>45.79</v>
      </c>
      <c r="AI31" s="241">
        <f>O31+AB31-AH31</f>
        <v>2953.1600000000003</v>
      </c>
      <c r="AJ31" s="241"/>
      <c r="AK31" s="255" t="s">
        <v>275</v>
      </c>
      <c r="AL31" s="255"/>
    </row>
    <row r="32" spans="1:38" ht="25.5" customHeight="1" x14ac:dyDescent="0.25">
      <c r="B32" s="160">
        <v>13</v>
      </c>
      <c r="C32" s="161" t="s">
        <v>360</v>
      </c>
      <c r="D32" s="161" t="s">
        <v>116</v>
      </c>
      <c r="E32" s="211"/>
      <c r="F32" s="161">
        <v>15</v>
      </c>
      <c r="G32" s="257">
        <v>190.87</v>
      </c>
      <c r="H32" s="241">
        <f t="shared" si="19"/>
        <v>2863.05</v>
      </c>
      <c r="I32" s="240">
        <v>0</v>
      </c>
      <c r="J32" s="240">
        <v>0</v>
      </c>
      <c r="K32" s="240"/>
      <c r="L32" s="240">
        <v>0</v>
      </c>
      <c r="M32" s="240">
        <v>0</v>
      </c>
      <c r="N32" s="240">
        <v>0</v>
      </c>
      <c r="O32" s="241">
        <f>SUM(H32:N32)</f>
        <v>2863.05</v>
      </c>
      <c r="P32" s="242"/>
      <c r="Q32" s="241">
        <v>0</v>
      </c>
      <c r="R32" s="241">
        <f>H32+I32+J32+M32+Q32+K32</f>
        <v>2863.05</v>
      </c>
      <c r="S32" s="241">
        <f>VLOOKUP(R32,TARIFA1,1)</f>
        <v>2699.41</v>
      </c>
      <c r="T32" s="241">
        <f>R32-S32</f>
        <v>163.64000000000033</v>
      </c>
      <c r="U32" s="243">
        <f>VLOOKUP(R32,TARIFA1,3)</f>
        <v>0.10879999999999999</v>
      </c>
      <c r="V32" s="241">
        <f>T32*U32</f>
        <v>17.804032000000035</v>
      </c>
      <c r="W32" s="241">
        <f>VLOOKUP(R32,TARIFA1,2)</f>
        <v>158.55000000000001</v>
      </c>
      <c r="X32" s="241">
        <f>V32+W32</f>
        <v>176.35403200000005</v>
      </c>
      <c r="Y32" s="241">
        <f>VLOOKUP(R32,Credito1,2)</f>
        <v>145.35</v>
      </c>
      <c r="Z32" s="241">
        <f>ROUND(X32-Y32,2)</f>
        <v>31</v>
      </c>
      <c r="AA32" s="244"/>
      <c r="AB32" s="241">
        <f>-IF(Z32&gt;0,0,Z32)</f>
        <v>0</v>
      </c>
      <c r="AC32" s="241">
        <f>IF(Z32&lt;0,0,Z32)</f>
        <v>31</v>
      </c>
      <c r="AD32" s="241">
        <v>0</v>
      </c>
      <c r="AE32" s="240">
        <v>0</v>
      </c>
      <c r="AF32" s="240">
        <v>0</v>
      </c>
      <c r="AG32" s="245">
        <v>0</v>
      </c>
      <c r="AH32" s="241">
        <f>SUM(AC32:AG32)</f>
        <v>31</v>
      </c>
      <c r="AI32" s="241">
        <f>O32+AB32-AH32</f>
        <v>2832.05</v>
      </c>
      <c r="AJ32" s="241"/>
      <c r="AK32" s="255"/>
      <c r="AL32" s="255"/>
    </row>
    <row r="33" spans="2:38" ht="25.5" customHeight="1" x14ac:dyDescent="0.25">
      <c r="B33" s="160">
        <v>14</v>
      </c>
      <c r="C33" s="161" t="s">
        <v>419</v>
      </c>
      <c r="D33" s="161" t="s">
        <v>116</v>
      </c>
      <c r="E33" s="211"/>
      <c r="F33" s="161">
        <v>15</v>
      </c>
      <c r="G33" s="257">
        <v>190.87</v>
      </c>
      <c r="H33" s="241">
        <f t="shared" si="19"/>
        <v>2863.05</v>
      </c>
      <c r="I33" s="240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1">
        <f>SUM(H33:N33)</f>
        <v>2863.05</v>
      </c>
      <c r="P33" s="242"/>
      <c r="Q33" s="241">
        <f>IF(G33=47.16,0,IF(G33&gt;47.16,L33*0.5,0))</f>
        <v>0</v>
      </c>
      <c r="R33" s="241">
        <f>H33+I33+J33+M33+Q33+K33</f>
        <v>2863.05</v>
      </c>
      <c r="S33" s="241">
        <f>VLOOKUP(R33,TARIFA1,1)</f>
        <v>2699.41</v>
      </c>
      <c r="T33" s="241">
        <f>R33-S33</f>
        <v>163.64000000000033</v>
      </c>
      <c r="U33" s="243">
        <f>VLOOKUP(R33,TARIFA1,3)</f>
        <v>0.10879999999999999</v>
      </c>
      <c r="V33" s="241">
        <f>T33*U33</f>
        <v>17.804032000000035</v>
      </c>
      <c r="W33" s="241">
        <f>VLOOKUP(R33,TARIFA1,2)</f>
        <v>158.55000000000001</v>
      </c>
      <c r="X33" s="241">
        <f>V33+W33</f>
        <v>176.35403200000005</v>
      </c>
      <c r="Y33" s="241">
        <f>VLOOKUP(R33,Credito1,2)</f>
        <v>145.35</v>
      </c>
      <c r="Z33" s="241">
        <f>ROUND(X33-Y33,2)</f>
        <v>31</v>
      </c>
      <c r="AA33" s="244"/>
      <c r="AB33" s="241">
        <f>-IF(Z33&gt;0,0,Z33)</f>
        <v>0</v>
      </c>
      <c r="AC33" s="241">
        <f>IF(Z33&lt;0,0,Z33)</f>
        <v>31</v>
      </c>
      <c r="AD33" s="241">
        <v>0</v>
      </c>
      <c r="AE33" s="240">
        <v>0</v>
      </c>
      <c r="AF33" s="240">
        <v>0</v>
      </c>
      <c r="AG33" s="245">
        <v>0</v>
      </c>
      <c r="AH33" s="241">
        <f>SUM(AC33:AG33)</f>
        <v>31</v>
      </c>
      <c r="AI33" s="241">
        <f>O33+AB33-AH33</f>
        <v>2832.05</v>
      </c>
      <c r="AJ33" s="241"/>
      <c r="AK33" s="255"/>
      <c r="AL33" s="255"/>
    </row>
    <row r="34" spans="2:38" ht="25.5" customHeight="1" x14ac:dyDescent="0.25">
      <c r="B34" s="160"/>
      <c r="C34" s="161"/>
      <c r="D34" s="254" t="s">
        <v>111</v>
      </c>
      <c r="E34" s="420"/>
      <c r="F34" s="421"/>
      <c r="G34" s="258"/>
      <c r="H34" s="259">
        <f>SUM(H30:H33)</f>
        <v>13270.05</v>
      </c>
      <c r="I34" s="259">
        <f t="shared" ref="I34:AI34" si="20">SUM(I30:I33)</f>
        <v>0</v>
      </c>
      <c r="J34" s="259">
        <f t="shared" si="20"/>
        <v>0</v>
      </c>
      <c r="K34" s="259">
        <f t="shared" si="20"/>
        <v>0</v>
      </c>
      <c r="L34" s="259">
        <f t="shared" si="20"/>
        <v>0</v>
      </c>
      <c r="M34" s="259">
        <f t="shared" si="20"/>
        <v>0</v>
      </c>
      <c r="N34" s="259">
        <f t="shared" si="20"/>
        <v>0</v>
      </c>
      <c r="O34" s="259">
        <f t="shared" si="20"/>
        <v>13270.05</v>
      </c>
      <c r="P34" s="259">
        <f t="shared" si="20"/>
        <v>0</v>
      </c>
      <c r="Q34" s="259">
        <f t="shared" si="20"/>
        <v>0</v>
      </c>
      <c r="R34" s="259">
        <f t="shared" si="20"/>
        <v>13270.05</v>
      </c>
      <c r="S34" s="259">
        <f t="shared" si="20"/>
        <v>10797.64</v>
      </c>
      <c r="T34" s="259">
        <f t="shared" si="20"/>
        <v>2472.4100000000012</v>
      </c>
      <c r="U34" s="259">
        <f t="shared" si="20"/>
        <v>0.43519999999999998</v>
      </c>
      <c r="V34" s="259">
        <f t="shared" si="20"/>
        <v>268.99820800000009</v>
      </c>
      <c r="W34" s="259">
        <f t="shared" si="20"/>
        <v>634.20000000000005</v>
      </c>
      <c r="X34" s="259">
        <f t="shared" si="20"/>
        <v>903.19820800000025</v>
      </c>
      <c r="Y34" s="259">
        <f t="shared" si="20"/>
        <v>436.04999999999995</v>
      </c>
      <c r="Z34" s="259">
        <f t="shared" si="20"/>
        <v>467.14000000000004</v>
      </c>
      <c r="AA34" s="259">
        <f t="shared" si="20"/>
        <v>0</v>
      </c>
      <c r="AB34" s="259">
        <f t="shared" si="20"/>
        <v>0</v>
      </c>
      <c r="AC34" s="259">
        <f t="shared" si="20"/>
        <v>467.14000000000004</v>
      </c>
      <c r="AD34" s="259">
        <f t="shared" si="20"/>
        <v>0</v>
      </c>
      <c r="AE34" s="259">
        <f t="shared" si="20"/>
        <v>0</v>
      </c>
      <c r="AF34" s="259">
        <f t="shared" si="20"/>
        <v>0</v>
      </c>
      <c r="AG34" s="259">
        <f t="shared" si="20"/>
        <v>0</v>
      </c>
      <c r="AH34" s="259">
        <f t="shared" si="20"/>
        <v>467.14000000000004</v>
      </c>
      <c r="AI34" s="259">
        <f t="shared" si="20"/>
        <v>12802.91</v>
      </c>
      <c r="AJ34" s="160"/>
      <c r="AK34" s="255"/>
      <c r="AL34" s="261">
        <f>O34+AB34-AH34</f>
        <v>12802.91</v>
      </c>
    </row>
    <row r="35" spans="2:38" ht="30" customHeight="1" x14ac:dyDescent="0.25">
      <c r="B35" s="422" t="s">
        <v>117</v>
      </c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4"/>
      <c r="AK35" s="255"/>
      <c r="AL35" s="255"/>
    </row>
    <row r="36" spans="2:38" s="103" customFormat="1" ht="24.75" customHeight="1" x14ac:dyDescent="0.25">
      <c r="B36" s="160">
        <v>15</v>
      </c>
      <c r="C36" s="161" t="s">
        <v>418</v>
      </c>
      <c r="D36" s="161" t="s">
        <v>173</v>
      </c>
      <c r="E36" s="211"/>
      <c r="F36" s="161">
        <v>15</v>
      </c>
      <c r="G36" s="257">
        <v>333.33</v>
      </c>
      <c r="H36" s="241">
        <f>F36*G36</f>
        <v>4999.95</v>
      </c>
      <c r="I36" s="240">
        <v>0</v>
      </c>
      <c r="J36" s="240">
        <v>0</v>
      </c>
      <c r="K36" s="240">
        <v>0</v>
      </c>
      <c r="L36" s="240">
        <v>0</v>
      </c>
      <c r="M36" s="240">
        <v>0</v>
      </c>
      <c r="N36" s="240">
        <v>0</v>
      </c>
      <c r="O36" s="241">
        <f>SUM(H36:N36)</f>
        <v>4999.95</v>
      </c>
      <c r="P36" s="242"/>
      <c r="Q36" s="241">
        <f>IF(G36=47.16,0,IF(G36&gt;47.16,L36*0.5,0))</f>
        <v>0</v>
      </c>
      <c r="R36" s="241">
        <f>H36+I36+J36+M36+Q36+K36</f>
        <v>4999.95</v>
      </c>
      <c r="S36" s="241">
        <f>VLOOKUP(R36,TARIFA1,1)</f>
        <v>4744.0600000000004</v>
      </c>
      <c r="T36" s="241">
        <f>R36-S36</f>
        <v>255.88999999999942</v>
      </c>
      <c r="U36" s="243">
        <f>VLOOKUP(R36,TARIFA1,3)</f>
        <v>0.16</v>
      </c>
      <c r="V36" s="241">
        <f>T36*U36</f>
        <v>40.942399999999907</v>
      </c>
      <c r="W36" s="241">
        <f>VLOOKUP(R36,TARIFA1,2)</f>
        <v>381</v>
      </c>
      <c r="X36" s="241">
        <f>V36+W36</f>
        <v>421.94239999999991</v>
      </c>
      <c r="Y36" s="241">
        <f>VLOOKUP(R36,Credito1,2)</f>
        <v>0</v>
      </c>
      <c r="Z36" s="241">
        <f>ROUND(X36-Y36,2)</f>
        <v>421.94</v>
      </c>
      <c r="AA36" s="244"/>
      <c r="AB36" s="241">
        <f>-IF(Z36&gt;0,0,Z36)</f>
        <v>0</v>
      </c>
      <c r="AC36" s="241">
        <f>IF(Z36&lt;0,0,Z36)</f>
        <v>421.94</v>
      </c>
      <c r="AD36" s="241">
        <v>0</v>
      </c>
      <c r="AE36" s="240">
        <v>0</v>
      </c>
      <c r="AF36" s="240">
        <v>0</v>
      </c>
      <c r="AG36" s="245">
        <v>0</v>
      </c>
      <c r="AH36" s="241">
        <f>SUM(AC36:AG36)</f>
        <v>421.94</v>
      </c>
      <c r="AI36" s="241">
        <f>O36+AB36-AH36</f>
        <v>4578.01</v>
      </c>
      <c r="AJ36" s="241"/>
      <c r="AK36" s="255"/>
      <c r="AL36" s="255"/>
    </row>
    <row r="37" spans="2:38" s="103" customFormat="1" ht="24.75" customHeight="1" x14ac:dyDescent="0.25">
      <c r="B37" s="160">
        <v>16</v>
      </c>
      <c r="C37" s="161" t="s">
        <v>499</v>
      </c>
      <c r="D37" s="161" t="s">
        <v>121</v>
      </c>
      <c r="E37" s="161"/>
      <c r="F37" s="161">
        <v>15</v>
      </c>
      <c r="G37" s="257">
        <v>166.67</v>
      </c>
      <c r="H37" s="241">
        <f>F37*G37</f>
        <v>2500.0499999999997</v>
      </c>
      <c r="I37" s="240">
        <v>0</v>
      </c>
      <c r="J37" s="240">
        <v>0</v>
      </c>
      <c r="K37" s="240"/>
      <c r="L37" s="240">
        <v>0</v>
      </c>
      <c r="M37" s="240">
        <v>0</v>
      </c>
      <c r="N37" s="240">
        <v>0</v>
      </c>
      <c r="O37" s="241">
        <f>SUM(H37:N37)</f>
        <v>2500.0499999999997</v>
      </c>
      <c r="P37" s="242"/>
      <c r="Q37" s="241">
        <v>0</v>
      </c>
      <c r="R37" s="241">
        <f>H37+I37+J37+M37+Q37+K37</f>
        <v>2500.0499999999997</v>
      </c>
      <c r="S37" s="241">
        <f>VLOOKUP(R37,TARIFA1,1)</f>
        <v>318.01</v>
      </c>
      <c r="T37" s="241">
        <f>R37-S37</f>
        <v>2182.04</v>
      </c>
      <c r="U37" s="243">
        <f>VLOOKUP(R37,TARIFA1,3)</f>
        <v>6.4000000000000001E-2</v>
      </c>
      <c r="V37" s="241">
        <f>T37*U37</f>
        <v>139.65056000000001</v>
      </c>
      <c r="W37" s="241">
        <f>VLOOKUP(R37,TARIFA1,2)</f>
        <v>6.15</v>
      </c>
      <c r="X37" s="241">
        <f>V37+W37</f>
        <v>145.80056000000002</v>
      </c>
      <c r="Y37" s="241">
        <f>VLOOKUP(R37,Credito1,2)</f>
        <v>160.35</v>
      </c>
      <c r="Z37" s="241">
        <f>ROUND(X37-Y37,2)</f>
        <v>-14.55</v>
      </c>
      <c r="AA37" s="244"/>
      <c r="AB37" s="241">
        <f>-IF(Z37&gt;0,0,Z37)</f>
        <v>14.55</v>
      </c>
      <c r="AC37" s="241">
        <f>IF(Z37&lt;0,0,Z37)</f>
        <v>0</v>
      </c>
      <c r="AD37" s="241">
        <v>0</v>
      </c>
      <c r="AE37" s="240">
        <v>0</v>
      </c>
      <c r="AF37" s="240">
        <v>0</v>
      </c>
      <c r="AG37" s="245">
        <v>0</v>
      </c>
      <c r="AH37" s="241">
        <f>SUM(AC37:AG37)</f>
        <v>0</v>
      </c>
      <c r="AI37" s="241">
        <f>O37+AB37-AH37</f>
        <v>2514.6</v>
      </c>
      <c r="AJ37" s="241"/>
      <c r="AK37" s="255"/>
      <c r="AL37" s="255"/>
    </row>
    <row r="38" spans="2:38" ht="21" customHeight="1" x14ac:dyDescent="0.25">
      <c r="B38" s="160"/>
      <c r="C38" s="161"/>
      <c r="D38" s="254" t="s">
        <v>111</v>
      </c>
      <c r="E38" s="420"/>
      <c r="F38" s="421"/>
      <c r="G38" s="258"/>
      <c r="H38" s="259">
        <f>SUM(H36:H37)</f>
        <v>7500</v>
      </c>
      <c r="I38" s="259">
        <f t="shared" ref="I38:AI38" si="21">SUM(I36:I37)</f>
        <v>0</v>
      </c>
      <c r="J38" s="259">
        <f t="shared" si="21"/>
        <v>0</v>
      </c>
      <c r="K38" s="259">
        <f t="shared" si="21"/>
        <v>0</v>
      </c>
      <c r="L38" s="259">
        <f t="shared" si="21"/>
        <v>0</v>
      </c>
      <c r="M38" s="259">
        <f t="shared" si="21"/>
        <v>0</v>
      </c>
      <c r="N38" s="259">
        <f t="shared" si="21"/>
        <v>0</v>
      </c>
      <c r="O38" s="259">
        <f t="shared" si="21"/>
        <v>7500</v>
      </c>
      <c r="P38" s="259">
        <f t="shared" si="21"/>
        <v>0</v>
      </c>
      <c r="Q38" s="259">
        <f t="shared" si="21"/>
        <v>0</v>
      </c>
      <c r="R38" s="259">
        <f t="shared" si="21"/>
        <v>7500</v>
      </c>
      <c r="S38" s="259">
        <f t="shared" si="21"/>
        <v>5062.0700000000006</v>
      </c>
      <c r="T38" s="259">
        <f t="shared" si="21"/>
        <v>2437.9299999999994</v>
      </c>
      <c r="U38" s="259">
        <f t="shared" si="21"/>
        <v>0.224</v>
      </c>
      <c r="V38" s="259">
        <f t="shared" si="21"/>
        <v>180.59295999999992</v>
      </c>
      <c r="W38" s="259">
        <f t="shared" si="21"/>
        <v>387.15</v>
      </c>
      <c r="X38" s="259">
        <f t="shared" si="21"/>
        <v>567.74295999999993</v>
      </c>
      <c r="Y38" s="259">
        <f t="shared" si="21"/>
        <v>160.35</v>
      </c>
      <c r="Z38" s="259">
        <f t="shared" si="21"/>
        <v>407.39</v>
      </c>
      <c r="AA38" s="259">
        <f t="shared" si="21"/>
        <v>0</v>
      </c>
      <c r="AB38" s="259">
        <f t="shared" si="21"/>
        <v>14.55</v>
      </c>
      <c r="AC38" s="259">
        <f t="shared" si="21"/>
        <v>421.94</v>
      </c>
      <c r="AD38" s="259">
        <f t="shared" si="21"/>
        <v>0</v>
      </c>
      <c r="AE38" s="259">
        <f t="shared" si="21"/>
        <v>0</v>
      </c>
      <c r="AF38" s="259">
        <f t="shared" si="21"/>
        <v>0</v>
      </c>
      <c r="AG38" s="259">
        <f t="shared" si="21"/>
        <v>0</v>
      </c>
      <c r="AH38" s="259">
        <f t="shared" si="21"/>
        <v>421.94</v>
      </c>
      <c r="AI38" s="259">
        <f t="shared" si="21"/>
        <v>7092.6100000000006</v>
      </c>
      <c r="AJ38" s="160"/>
      <c r="AK38" s="255"/>
      <c r="AL38" s="261">
        <f>O38+AB38-AH38</f>
        <v>7092.6100000000006</v>
      </c>
    </row>
    <row r="39" spans="2:38" ht="24.75" customHeight="1" x14ac:dyDescent="0.25">
      <c r="B39" s="422" t="s">
        <v>118</v>
      </c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4"/>
      <c r="AK39" s="255"/>
      <c r="AL39" s="255"/>
    </row>
    <row r="40" spans="2:38" s="103" customFormat="1" ht="22.5" customHeight="1" x14ac:dyDescent="0.25">
      <c r="B40" s="160">
        <v>17</v>
      </c>
      <c r="C40" s="161" t="s">
        <v>464</v>
      </c>
      <c r="D40" s="161" t="s">
        <v>281</v>
      </c>
      <c r="E40" s="211"/>
      <c r="F40" s="161">
        <v>15</v>
      </c>
      <c r="G40" s="257">
        <v>149.6</v>
      </c>
      <c r="H40" s="241">
        <f>F40*G40</f>
        <v>2244</v>
      </c>
      <c r="I40" s="240">
        <v>0</v>
      </c>
      <c r="J40" s="240">
        <v>0</v>
      </c>
      <c r="K40" s="240">
        <v>0</v>
      </c>
      <c r="L40" s="240">
        <v>0</v>
      </c>
      <c r="M40" s="240">
        <v>0</v>
      </c>
      <c r="N40" s="240">
        <v>0</v>
      </c>
      <c r="O40" s="241">
        <f>SUM(H40:N40)</f>
        <v>2244</v>
      </c>
      <c r="P40" s="242"/>
      <c r="Q40" s="241">
        <v>0</v>
      </c>
      <c r="R40" s="241">
        <f>H40+I40+J40+M40+Q40+K40</f>
        <v>2244</v>
      </c>
      <c r="S40" s="241">
        <f>VLOOKUP(R40,TARIFA1,1)</f>
        <v>318.01</v>
      </c>
      <c r="T40" s="241">
        <f>R40-S40</f>
        <v>1925.99</v>
      </c>
      <c r="U40" s="243">
        <f>VLOOKUP(R40,TARIFA1,3)</f>
        <v>6.4000000000000001E-2</v>
      </c>
      <c r="V40" s="241">
        <f>T40*U40</f>
        <v>123.26336000000001</v>
      </c>
      <c r="W40" s="241">
        <f>VLOOKUP(R40,TARIFA1,2)</f>
        <v>6.15</v>
      </c>
      <c r="X40" s="241">
        <f>V40+W40</f>
        <v>129.41336000000001</v>
      </c>
      <c r="Y40" s="241">
        <f>VLOOKUP(R40,Credito1,2)</f>
        <v>174.75</v>
      </c>
      <c r="Z40" s="241">
        <f>ROUND(X40-Y40,2)</f>
        <v>-45.34</v>
      </c>
      <c r="AA40" s="244"/>
      <c r="AB40" s="241">
        <f>-IF(Z40&gt;0,0,Z40)</f>
        <v>45.34</v>
      </c>
      <c r="AC40" s="241">
        <f>IF(Z40&lt;0,0,Z40)</f>
        <v>0</v>
      </c>
      <c r="AD40" s="241">
        <v>0</v>
      </c>
      <c r="AE40" s="240">
        <v>0</v>
      </c>
      <c r="AF40" s="240">
        <v>0</v>
      </c>
      <c r="AG40" s="245">
        <v>0</v>
      </c>
      <c r="AH40" s="241">
        <f>SUM(AC40:AG40)</f>
        <v>0</v>
      </c>
      <c r="AI40" s="241">
        <f>O40+AB40-AH40</f>
        <v>2289.34</v>
      </c>
      <c r="AJ40" s="241"/>
      <c r="AK40" s="255"/>
      <c r="AL40" s="255"/>
    </row>
    <row r="41" spans="2:38" ht="22.5" customHeight="1" x14ac:dyDescent="0.25">
      <c r="B41" s="160">
        <v>18</v>
      </c>
      <c r="C41" s="161" t="s">
        <v>439</v>
      </c>
      <c r="D41" s="161" t="s">
        <v>120</v>
      </c>
      <c r="E41" s="211"/>
      <c r="F41" s="161">
        <v>15</v>
      </c>
      <c r="G41" s="257">
        <v>166.67</v>
      </c>
      <c r="H41" s="241">
        <f t="shared" ref="H41:H44" si="22">F41*G41</f>
        <v>2500.0499999999997</v>
      </c>
      <c r="I41" s="240">
        <v>0</v>
      </c>
      <c r="J41" s="240">
        <v>0</v>
      </c>
      <c r="K41" s="240">
        <v>0</v>
      </c>
      <c r="L41" s="240">
        <v>0</v>
      </c>
      <c r="M41" s="240">
        <v>0</v>
      </c>
      <c r="N41" s="240">
        <v>0</v>
      </c>
      <c r="O41" s="241">
        <f>SUM(H41:N41)</f>
        <v>2500.0499999999997</v>
      </c>
      <c r="P41" s="242"/>
      <c r="Q41" s="241">
        <f>IF(G41=47.16,0,IF(G41&gt;47.16,L41*0.5,0))</f>
        <v>0</v>
      </c>
      <c r="R41" s="241">
        <f>H41+I41+J41+M41+Q41+K41</f>
        <v>2500.0499999999997</v>
      </c>
      <c r="S41" s="241">
        <f>VLOOKUP(R41,TARIFA1,1)</f>
        <v>318.01</v>
      </c>
      <c r="T41" s="241">
        <f>R41-S41</f>
        <v>2182.04</v>
      </c>
      <c r="U41" s="243">
        <f>VLOOKUP(R41,TARIFA1,3)</f>
        <v>6.4000000000000001E-2</v>
      </c>
      <c r="V41" s="241">
        <f>T41*U41</f>
        <v>139.65056000000001</v>
      </c>
      <c r="W41" s="241">
        <f>VLOOKUP(R41,TARIFA1,2)</f>
        <v>6.15</v>
      </c>
      <c r="X41" s="241">
        <f>V41+W41</f>
        <v>145.80056000000002</v>
      </c>
      <c r="Y41" s="241">
        <f>VLOOKUP(R41,Credito1,2)</f>
        <v>160.35</v>
      </c>
      <c r="Z41" s="241">
        <f>ROUND(X41-Y41,2)</f>
        <v>-14.55</v>
      </c>
      <c r="AA41" s="244"/>
      <c r="AB41" s="241">
        <f>-IF(Z41&gt;0,0,Z41)</f>
        <v>14.55</v>
      </c>
      <c r="AC41" s="241">
        <f>IF(Z41&lt;0,0,Z41)</f>
        <v>0</v>
      </c>
      <c r="AD41" s="241">
        <v>0</v>
      </c>
      <c r="AE41" s="240">
        <v>0</v>
      </c>
      <c r="AF41" s="240">
        <v>0</v>
      </c>
      <c r="AG41" s="245">
        <v>0</v>
      </c>
      <c r="AH41" s="241">
        <f>SUM(AC41:AG41)</f>
        <v>0</v>
      </c>
      <c r="AI41" s="241">
        <f>O41+AB41-AH41</f>
        <v>2514.6</v>
      </c>
      <c r="AJ41" s="241"/>
      <c r="AK41" s="255"/>
      <c r="AL41" s="255"/>
    </row>
    <row r="42" spans="2:38" ht="22.5" customHeight="1" x14ac:dyDescent="0.25">
      <c r="B42" s="160">
        <v>19</v>
      </c>
      <c r="C42" s="161" t="s">
        <v>438</v>
      </c>
      <c r="D42" s="161" t="s">
        <v>233</v>
      </c>
      <c r="E42" s="211"/>
      <c r="F42" s="161">
        <v>15</v>
      </c>
      <c r="G42" s="257">
        <v>166.67</v>
      </c>
      <c r="H42" s="241">
        <f t="shared" si="22"/>
        <v>2500.0499999999997</v>
      </c>
      <c r="I42" s="240">
        <v>0</v>
      </c>
      <c r="J42" s="240">
        <v>0</v>
      </c>
      <c r="K42" s="240">
        <v>0</v>
      </c>
      <c r="L42" s="240">
        <v>0</v>
      </c>
      <c r="M42" s="240">
        <v>0</v>
      </c>
      <c r="N42" s="240">
        <v>0</v>
      </c>
      <c r="O42" s="241">
        <f>SUM(H42:N42)</f>
        <v>2500.0499999999997</v>
      </c>
      <c r="P42" s="242"/>
      <c r="Q42" s="241">
        <f>IF(G42=47.16,0,IF(G42&gt;47.16,L42*0.5,0))</f>
        <v>0</v>
      </c>
      <c r="R42" s="241">
        <f>H42+I42+J42+M42+Q42+K42</f>
        <v>2500.0499999999997</v>
      </c>
      <c r="S42" s="241">
        <f>VLOOKUP(R42,TARIFA1,1)</f>
        <v>318.01</v>
      </c>
      <c r="T42" s="241">
        <f>R42-S42</f>
        <v>2182.04</v>
      </c>
      <c r="U42" s="243">
        <f>VLOOKUP(R42,TARIFA1,3)</f>
        <v>6.4000000000000001E-2</v>
      </c>
      <c r="V42" s="241">
        <f>T42*U42</f>
        <v>139.65056000000001</v>
      </c>
      <c r="W42" s="241">
        <f>VLOOKUP(R42,TARIFA1,2)</f>
        <v>6.15</v>
      </c>
      <c r="X42" s="241">
        <f>V42+W42</f>
        <v>145.80056000000002</v>
      </c>
      <c r="Y42" s="241">
        <f>VLOOKUP(R42,Credito1,2)</f>
        <v>160.35</v>
      </c>
      <c r="Z42" s="241">
        <f>ROUND(X42-Y42,2)</f>
        <v>-14.55</v>
      </c>
      <c r="AA42" s="244"/>
      <c r="AB42" s="241">
        <f>-IF(Z42&gt;0,0,Z42)</f>
        <v>14.55</v>
      </c>
      <c r="AC42" s="241">
        <f>IF(Z42&lt;0,0,Z42)</f>
        <v>0</v>
      </c>
      <c r="AD42" s="241">
        <v>0</v>
      </c>
      <c r="AE42" s="240">
        <v>0</v>
      </c>
      <c r="AF42" s="240">
        <v>0</v>
      </c>
      <c r="AG42" s="245">
        <v>0</v>
      </c>
      <c r="AH42" s="241">
        <f>SUM(AC42:AG42)</f>
        <v>0</v>
      </c>
      <c r="AI42" s="241">
        <f>O42+AB42-AH42</f>
        <v>2514.6</v>
      </c>
      <c r="AJ42" s="241"/>
      <c r="AK42" s="255"/>
      <c r="AL42" s="255"/>
    </row>
    <row r="43" spans="2:38" ht="26.25" customHeight="1" x14ac:dyDescent="0.25">
      <c r="B43" s="160">
        <v>20</v>
      </c>
      <c r="C43" s="161" t="s">
        <v>368</v>
      </c>
      <c r="D43" s="161" t="s">
        <v>183</v>
      </c>
      <c r="E43" s="211"/>
      <c r="F43" s="161">
        <v>15</v>
      </c>
      <c r="G43" s="257">
        <v>303</v>
      </c>
      <c r="H43" s="241">
        <f t="shared" si="22"/>
        <v>4545</v>
      </c>
      <c r="I43" s="240">
        <v>0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1">
        <f>SUM(H43:N43)</f>
        <v>4545</v>
      </c>
      <c r="P43" s="242"/>
      <c r="Q43" s="241">
        <f>IF(G43=47.16,0,IF(G43&gt;47.16,L43*0.5,0))</f>
        <v>0</v>
      </c>
      <c r="R43" s="241">
        <f>H43+I43+J43+M43+Q43+K43</f>
        <v>4545</v>
      </c>
      <c r="S43" s="241">
        <f>VLOOKUP(R43,TARIFA1,1)</f>
        <v>2699.41</v>
      </c>
      <c r="T43" s="241">
        <f>R43-S43</f>
        <v>1845.5900000000001</v>
      </c>
      <c r="U43" s="243">
        <f>VLOOKUP(R43,TARIFA1,3)</f>
        <v>0.10879999999999999</v>
      </c>
      <c r="V43" s="241">
        <f>T43*U43</f>
        <v>200.80019200000001</v>
      </c>
      <c r="W43" s="241">
        <f>VLOOKUP(R43,TARIFA1,2)</f>
        <v>158.55000000000001</v>
      </c>
      <c r="X43" s="241">
        <f>V43+W43</f>
        <v>359.35019199999999</v>
      </c>
      <c r="Y43" s="241">
        <f>VLOOKUP(R43,Credito1,2)</f>
        <v>0</v>
      </c>
      <c r="Z43" s="241">
        <f>ROUND(X43-Y43,2)</f>
        <v>359.35</v>
      </c>
      <c r="AA43" s="244"/>
      <c r="AB43" s="241">
        <f>-IF(Z43&gt;0,0,Z43)</f>
        <v>0</v>
      </c>
      <c r="AC43" s="241">
        <f>IF(Z43&lt;0,0,Z43)</f>
        <v>359.35</v>
      </c>
      <c r="AD43" s="241">
        <v>0</v>
      </c>
      <c r="AE43" s="240">
        <v>0</v>
      </c>
      <c r="AF43" s="240">
        <v>0</v>
      </c>
      <c r="AG43" s="245">
        <v>0</v>
      </c>
      <c r="AH43" s="241">
        <f>SUM(AC43:AG43)</f>
        <v>359.35</v>
      </c>
      <c r="AI43" s="241">
        <f>O43+AB43-AH43</f>
        <v>4185.6499999999996</v>
      </c>
      <c r="AJ43" s="241"/>
      <c r="AK43" s="255"/>
      <c r="AL43" s="255"/>
    </row>
    <row r="44" spans="2:38" ht="26.25" customHeight="1" x14ac:dyDescent="0.25">
      <c r="B44" s="160">
        <v>21</v>
      </c>
      <c r="C44" s="161" t="s">
        <v>427</v>
      </c>
      <c r="D44" s="161" t="s">
        <v>245</v>
      </c>
      <c r="E44" s="211"/>
      <c r="F44" s="161">
        <v>15</v>
      </c>
      <c r="G44" s="257">
        <v>166.67</v>
      </c>
      <c r="H44" s="241">
        <f t="shared" si="22"/>
        <v>2500.0499999999997</v>
      </c>
      <c r="I44" s="240">
        <v>0</v>
      </c>
      <c r="J44" s="240">
        <v>0</v>
      </c>
      <c r="K44" s="240">
        <v>0</v>
      </c>
      <c r="L44" s="240">
        <v>0</v>
      </c>
      <c r="M44" s="240">
        <v>0</v>
      </c>
      <c r="N44" s="240">
        <v>0</v>
      </c>
      <c r="O44" s="241">
        <f>SUM(H44:N44)</f>
        <v>2500.0499999999997</v>
      </c>
      <c r="P44" s="242"/>
      <c r="Q44" s="241">
        <v>0</v>
      </c>
      <c r="R44" s="241">
        <f>H44+I44+J44+M44+Q44+K44</f>
        <v>2500.0499999999997</v>
      </c>
      <c r="S44" s="241">
        <f>VLOOKUP(R44,TARIFA1,1)</f>
        <v>318.01</v>
      </c>
      <c r="T44" s="241">
        <f>R44-S44</f>
        <v>2182.04</v>
      </c>
      <c r="U44" s="243">
        <f>VLOOKUP(R44,TARIFA1,3)</f>
        <v>6.4000000000000001E-2</v>
      </c>
      <c r="V44" s="241">
        <f>T44*U44</f>
        <v>139.65056000000001</v>
      </c>
      <c r="W44" s="241">
        <f>VLOOKUP(R44,TARIFA1,2)</f>
        <v>6.15</v>
      </c>
      <c r="X44" s="241">
        <f>V44+W44</f>
        <v>145.80056000000002</v>
      </c>
      <c r="Y44" s="241">
        <f>VLOOKUP(R44,Credito1,2)</f>
        <v>160.35</v>
      </c>
      <c r="Z44" s="241">
        <f>ROUND(X44-Y44,2)</f>
        <v>-14.55</v>
      </c>
      <c r="AA44" s="244"/>
      <c r="AB44" s="241">
        <f>-IF(Z44&gt;0,0,Z44)</f>
        <v>14.55</v>
      </c>
      <c r="AC44" s="241">
        <f>IF(Z44&lt;0,0,Z44)</f>
        <v>0</v>
      </c>
      <c r="AD44" s="241">
        <v>0</v>
      </c>
      <c r="AE44" s="240">
        <v>0</v>
      </c>
      <c r="AF44" s="240">
        <v>0</v>
      </c>
      <c r="AG44" s="245">
        <v>0</v>
      </c>
      <c r="AH44" s="241">
        <f>SUM(AC44:AG44)</f>
        <v>0</v>
      </c>
      <c r="AI44" s="241">
        <f>O44+AB44-AH44</f>
        <v>2514.6</v>
      </c>
      <c r="AJ44" s="241"/>
      <c r="AK44" s="255"/>
      <c r="AL44" s="255"/>
    </row>
    <row r="45" spans="2:38" ht="19.5" customHeight="1" x14ac:dyDescent="0.25">
      <c r="B45" s="160"/>
      <c r="C45" s="161"/>
      <c r="D45" s="254" t="s">
        <v>111</v>
      </c>
      <c r="E45" s="420"/>
      <c r="F45" s="421"/>
      <c r="G45" s="258"/>
      <c r="H45" s="259">
        <f>SUM(H40:H44)</f>
        <v>14289.149999999998</v>
      </c>
      <c r="I45" s="259">
        <f t="shared" ref="I45:AI45" si="23">SUM(I40:I44)</f>
        <v>0</v>
      </c>
      <c r="J45" s="259">
        <f t="shared" si="23"/>
        <v>0</v>
      </c>
      <c r="K45" s="259">
        <f t="shared" si="23"/>
        <v>0</v>
      </c>
      <c r="L45" s="259">
        <f t="shared" si="23"/>
        <v>0</v>
      </c>
      <c r="M45" s="259">
        <f t="shared" si="23"/>
        <v>0</v>
      </c>
      <c r="N45" s="259">
        <f t="shared" si="23"/>
        <v>0</v>
      </c>
      <c r="O45" s="259">
        <f t="shared" si="23"/>
        <v>14289.149999999998</v>
      </c>
      <c r="P45" s="259">
        <f t="shared" si="23"/>
        <v>0</v>
      </c>
      <c r="Q45" s="259">
        <f t="shared" si="23"/>
        <v>0</v>
      </c>
      <c r="R45" s="259">
        <f t="shared" si="23"/>
        <v>14289.149999999998</v>
      </c>
      <c r="S45" s="259">
        <f t="shared" si="23"/>
        <v>3971.45</v>
      </c>
      <c r="T45" s="259">
        <f t="shared" si="23"/>
        <v>10317.700000000001</v>
      </c>
      <c r="U45" s="259">
        <f t="shared" si="23"/>
        <v>0.36480000000000001</v>
      </c>
      <c r="V45" s="259">
        <f t="shared" si="23"/>
        <v>743.01523200000008</v>
      </c>
      <c r="W45" s="259">
        <f t="shared" si="23"/>
        <v>183.15</v>
      </c>
      <c r="X45" s="259">
        <f t="shared" si="23"/>
        <v>926.16523200000006</v>
      </c>
      <c r="Y45" s="259">
        <f t="shared" si="23"/>
        <v>655.80000000000007</v>
      </c>
      <c r="Z45" s="259">
        <f t="shared" si="23"/>
        <v>270.36</v>
      </c>
      <c r="AA45" s="259">
        <f t="shared" si="23"/>
        <v>0</v>
      </c>
      <c r="AB45" s="259">
        <f t="shared" si="23"/>
        <v>88.99</v>
      </c>
      <c r="AC45" s="259">
        <f t="shared" si="23"/>
        <v>359.35</v>
      </c>
      <c r="AD45" s="259">
        <f t="shared" si="23"/>
        <v>0</v>
      </c>
      <c r="AE45" s="259">
        <f t="shared" si="23"/>
        <v>0</v>
      </c>
      <c r="AF45" s="259">
        <f t="shared" si="23"/>
        <v>0</v>
      </c>
      <c r="AG45" s="259">
        <f t="shared" si="23"/>
        <v>0</v>
      </c>
      <c r="AH45" s="259">
        <f t="shared" si="23"/>
        <v>359.35</v>
      </c>
      <c r="AI45" s="259">
        <f t="shared" si="23"/>
        <v>14018.79</v>
      </c>
      <c r="AJ45" s="160"/>
      <c r="AK45" s="255"/>
      <c r="AL45" s="261">
        <f>O45+AB45-AH45</f>
        <v>14018.789999999997</v>
      </c>
    </row>
    <row r="46" spans="2:38" ht="24" customHeight="1" x14ac:dyDescent="0.25">
      <c r="B46" s="422" t="s">
        <v>167</v>
      </c>
      <c r="C46" s="423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4"/>
      <c r="AK46" s="255"/>
      <c r="AL46" s="255"/>
    </row>
    <row r="47" spans="2:38" s="103" customFormat="1" ht="25" x14ac:dyDescent="0.25">
      <c r="B47" s="160">
        <v>22</v>
      </c>
      <c r="C47" s="160" t="s">
        <v>376</v>
      </c>
      <c r="D47" s="161" t="s">
        <v>211</v>
      </c>
      <c r="E47" s="161"/>
      <c r="F47" s="161">
        <v>15</v>
      </c>
      <c r="G47" s="257">
        <v>303</v>
      </c>
      <c r="H47" s="241">
        <f>F47*G47</f>
        <v>4545</v>
      </c>
      <c r="I47" s="241">
        <v>0</v>
      </c>
      <c r="J47" s="241"/>
      <c r="K47" s="241">
        <v>0</v>
      </c>
      <c r="L47" s="241"/>
      <c r="M47" s="241"/>
      <c r="N47" s="241"/>
      <c r="O47" s="241">
        <f>SUM(H47:N47)</f>
        <v>4545</v>
      </c>
      <c r="P47" s="241"/>
      <c r="Q47" s="241"/>
      <c r="R47" s="241">
        <f>H47+I47+J47+M47+Q47+K47</f>
        <v>4545</v>
      </c>
      <c r="S47" s="241">
        <f>VLOOKUP(R47,TARIFA1,1)</f>
        <v>2699.41</v>
      </c>
      <c r="T47" s="241">
        <f>R47-S47</f>
        <v>1845.5900000000001</v>
      </c>
      <c r="U47" s="243">
        <f>VLOOKUP(R47,TARIFA1,3)</f>
        <v>0.10879999999999999</v>
      </c>
      <c r="V47" s="241">
        <f>T47*U47</f>
        <v>200.80019200000001</v>
      </c>
      <c r="W47" s="241">
        <f>VLOOKUP(R47,TARIFA1,2)</f>
        <v>158.55000000000001</v>
      </c>
      <c r="X47" s="241">
        <f>V47+W47</f>
        <v>359.35019199999999</v>
      </c>
      <c r="Y47" s="241">
        <f>VLOOKUP(R47,Credito1,2)</f>
        <v>0</v>
      </c>
      <c r="Z47" s="241">
        <f>ROUND(X47-Y47,2)</f>
        <v>359.35</v>
      </c>
      <c r="AA47" s="241"/>
      <c r="AB47" s="241">
        <f>-IF(Z47&gt;0,0,Z47)</f>
        <v>0</v>
      </c>
      <c r="AC47" s="241">
        <f>IF(Z47&lt;0,0,Z47)</f>
        <v>359.35</v>
      </c>
      <c r="AD47" s="241">
        <v>0</v>
      </c>
      <c r="AE47" s="241">
        <v>0</v>
      </c>
      <c r="AF47" s="241"/>
      <c r="AG47" s="241">
        <v>0</v>
      </c>
      <c r="AH47" s="241">
        <f>SUM(AC47:AG47)</f>
        <v>359.35</v>
      </c>
      <c r="AI47" s="241">
        <f>O47+AB47-AH47</f>
        <v>4185.6499999999996</v>
      </c>
      <c r="AJ47" s="241"/>
      <c r="AK47" s="255"/>
      <c r="AL47" s="255"/>
    </row>
    <row r="48" spans="2:38" ht="26.25" customHeight="1" x14ac:dyDescent="0.25">
      <c r="B48" s="160">
        <v>23</v>
      </c>
      <c r="C48" s="161" t="s">
        <v>487</v>
      </c>
      <c r="D48" s="161" t="s">
        <v>213</v>
      </c>
      <c r="E48" s="211"/>
      <c r="F48" s="161">
        <v>15</v>
      </c>
      <c r="G48" s="257">
        <v>303</v>
      </c>
      <c r="H48" s="241">
        <f>F48*G48</f>
        <v>4545</v>
      </c>
      <c r="I48" s="240">
        <v>0</v>
      </c>
      <c r="J48" s="240">
        <v>0</v>
      </c>
      <c r="K48" s="240">
        <v>0</v>
      </c>
      <c r="L48" s="240">
        <v>0</v>
      </c>
      <c r="M48" s="240">
        <v>0</v>
      </c>
      <c r="N48" s="240">
        <v>0</v>
      </c>
      <c r="O48" s="241">
        <f>SUM(H48:N48)</f>
        <v>4545</v>
      </c>
      <c r="P48" s="242"/>
      <c r="Q48" s="241">
        <f>IF(G48=47.16,0,IF(G48&gt;47.16,L48*0.5,0))</f>
        <v>0</v>
      </c>
      <c r="R48" s="241">
        <f>H48+I48+J48+M48+Q48+K48</f>
        <v>4545</v>
      </c>
      <c r="S48" s="241">
        <f>VLOOKUP(R48,TARIFA1,1)</f>
        <v>2699.41</v>
      </c>
      <c r="T48" s="241">
        <f>R48-S48</f>
        <v>1845.5900000000001</v>
      </c>
      <c r="U48" s="243">
        <f>VLOOKUP(R48,TARIFA1,3)</f>
        <v>0.10879999999999999</v>
      </c>
      <c r="V48" s="241">
        <f>T48*U48</f>
        <v>200.80019200000001</v>
      </c>
      <c r="W48" s="241">
        <f>VLOOKUP(R48,TARIFA1,2)</f>
        <v>158.55000000000001</v>
      </c>
      <c r="X48" s="241">
        <f>V48+W48</f>
        <v>359.35019199999999</v>
      </c>
      <c r="Y48" s="241">
        <f>VLOOKUP(R48,Credito1,2)</f>
        <v>0</v>
      </c>
      <c r="Z48" s="241">
        <f>ROUND(X48-Y48,2)</f>
        <v>359.35</v>
      </c>
      <c r="AA48" s="244"/>
      <c r="AB48" s="241">
        <f>-IF(Z48&gt;0,0,Z48)</f>
        <v>0</v>
      </c>
      <c r="AC48" s="241">
        <f>IF(Z48&lt;0,0,Z48)</f>
        <v>359.35</v>
      </c>
      <c r="AD48" s="241">
        <v>0</v>
      </c>
      <c r="AE48" s="240">
        <v>0</v>
      </c>
      <c r="AF48" s="240">
        <v>0</v>
      </c>
      <c r="AG48" s="245">
        <v>0</v>
      </c>
      <c r="AH48" s="241">
        <f>SUM(AC48:AG48)</f>
        <v>359.35</v>
      </c>
      <c r="AI48" s="241">
        <f>O48+AB48-AH48</f>
        <v>4185.6499999999996</v>
      </c>
      <c r="AJ48" s="241"/>
      <c r="AK48" s="255"/>
      <c r="AL48" s="255"/>
    </row>
    <row r="49" spans="2:38" ht="23.25" customHeight="1" x14ac:dyDescent="0.25">
      <c r="B49" s="160"/>
      <c r="C49" s="161"/>
      <c r="D49" s="254" t="s">
        <v>111</v>
      </c>
      <c r="E49" s="420"/>
      <c r="F49" s="421"/>
      <c r="G49" s="258"/>
      <c r="H49" s="259">
        <f>SUM(H47:H48)</f>
        <v>9090</v>
      </c>
      <c r="I49" s="259">
        <f t="shared" ref="I49:AI49" si="24">SUM(I47:I48)</f>
        <v>0</v>
      </c>
      <c r="J49" s="259">
        <f t="shared" si="24"/>
        <v>0</v>
      </c>
      <c r="K49" s="259">
        <f t="shared" si="24"/>
        <v>0</v>
      </c>
      <c r="L49" s="259">
        <f t="shared" si="24"/>
        <v>0</v>
      </c>
      <c r="M49" s="259">
        <f t="shared" si="24"/>
        <v>0</v>
      </c>
      <c r="N49" s="259">
        <f t="shared" si="24"/>
        <v>0</v>
      </c>
      <c r="O49" s="259">
        <f t="shared" si="24"/>
        <v>9090</v>
      </c>
      <c r="P49" s="259">
        <f t="shared" si="24"/>
        <v>0</v>
      </c>
      <c r="Q49" s="259">
        <f t="shared" si="24"/>
        <v>0</v>
      </c>
      <c r="R49" s="259">
        <f t="shared" si="24"/>
        <v>9090</v>
      </c>
      <c r="S49" s="259">
        <f t="shared" si="24"/>
        <v>5398.82</v>
      </c>
      <c r="T49" s="259">
        <f t="shared" si="24"/>
        <v>3691.1800000000003</v>
      </c>
      <c r="U49" s="259">
        <f t="shared" si="24"/>
        <v>0.21759999999999999</v>
      </c>
      <c r="V49" s="259">
        <f t="shared" si="24"/>
        <v>401.60038400000002</v>
      </c>
      <c r="W49" s="259">
        <f t="shared" si="24"/>
        <v>317.10000000000002</v>
      </c>
      <c r="X49" s="259">
        <f t="shared" si="24"/>
        <v>718.70038399999999</v>
      </c>
      <c r="Y49" s="259">
        <f t="shared" si="24"/>
        <v>0</v>
      </c>
      <c r="Z49" s="259">
        <f t="shared" si="24"/>
        <v>718.7</v>
      </c>
      <c r="AA49" s="259">
        <f t="shared" si="24"/>
        <v>0</v>
      </c>
      <c r="AB49" s="259">
        <f t="shared" si="24"/>
        <v>0</v>
      </c>
      <c r="AC49" s="259">
        <f t="shared" si="24"/>
        <v>718.7</v>
      </c>
      <c r="AD49" s="259">
        <f t="shared" si="24"/>
        <v>0</v>
      </c>
      <c r="AE49" s="259">
        <f t="shared" si="24"/>
        <v>0</v>
      </c>
      <c r="AF49" s="259">
        <f t="shared" si="24"/>
        <v>0</v>
      </c>
      <c r="AG49" s="259">
        <f t="shared" si="24"/>
        <v>0</v>
      </c>
      <c r="AH49" s="259">
        <f t="shared" si="24"/>
        <v>718.7</v>
      </c>
      <c r="AI49" s="259">
        <f t="shared" si="24"/>
        <v>8371.2999999999993</v>
      </c>
      <c r="AJ49" s="160"/>
      <c r="AK49" s="255"/>
      <c r="AL49" s="261">
        <f>O49+AB49-AH49</f>
        <v>8371.2999999999993</v>
      </c>
    </row>
    <row r="50" spans="2:38" ht="21.75" customHeight="1" x14ac:dyDescent="0.25">
      <c r="B50" s="426" t="s">
        <v>122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6"/>
      <c r="AI50" s="426"/>
      <c r="AJ50" s="426"/>
      <c r="AK50" s="255"/>
      <c r="AL50" s="255"/>
    </row>
    <row r="51" spans="2:38" s="103" customFormat="1" ht="25.5" customHeight="1" x14ac:dyDescent="0.25">
      <c r="B51" s="160">
        <v>24</v>
      </c>
      <c r="C51" s="161" t="s">
        <v>479</v>
      </c>
      <c r="D51" s="161" t="s">
        <v>113</v>
      </c>
      <c r="E51" s="211"/>
      <c r="F51" s="161">
        <v>15</v>
      </c>
      <c r="G51" s="257">
        <v>303</v>
      </c>
      <c r="H51" s="241">
        <f>F51*G51</f>
        <v>4545</v>
      </c>
      <c r="I51" s="240">
        <v>0</v>
      </c>
      <c r="J51" s="240">
        <v>0</v>
      </c>
      <c r="K51" s="240">
        <v>0</v>
      </c>
      <c r="L51" s="240">
        <v>0</v>
      </c>
      <c r="M51" s="240">
        <v>0</v>
      </c>
      <c r="N51" s="240">
        <v>0</v>
      </c>
      <c r="O51" s="241">
        <f>SUM(H51:N51)</f>
        <v>4545</v>
      </c>
      <c r="P51" s="242"/>
      <c r="Q51" s="241">
        <f>IF(G51=47.16,0,IF(G51&gt;47.16,L51*0.5,0))</f>
        <v>0</v>
      </c>
      <c r="R51" s="241">
        <f>H51+I51+J51+M51+Q51+K51</f>
        <v>4545</v>
      </c>
      <c r="S51" s="241">
        <f>VLOOKUP(R51,TARIFA1,1)</f>
        <v>2699.41</v>
      </c>
      <c r="T51" s="241">
        <f>R51-S51</f>
        <v>1845.5900000000001</v>
      </c>
      <c r="U51" s="243">
        <f>VLOOKUP(R51,TARIFA1,3)</f>
        <v>0.10879999999999999</v>
      </c>
      <c r="V51" s="241">
        <f>T51*U51</f>
        <v>200.80019200000001</v>
      </c>
      <c r="W51" s="241">
        <f>VLOOKUP(R51,TARIFA1,2)</f>
        <v>158.55000000000001</v>
      </c>
      <c r="X51" s="241">
        <f>V51+W51</f>
        <v>359.35019199999999</v>
      </c>
      <c r="Y51" s="241">
        <f>VLOOKUP(R51,Credito1,2)</f>
        <v>0</v>
      </c>
      <c r="Z51" s="241">
        <f>ROUND(X51-Y51,2)</f>
        <v>359.35</v>
      </c>
      <c r="AA51" s="244"/>
      <c r="AB51" s="241">
        <f>-IF(Z51&gt;0,0,Z51)</f>
        <v>0</v>
      </c>
      <c r="AC51" s="241">
        <f>IF(Z51&lt;0,0,Z51)</f>
        <v>359.35</v>
      </c>
      <c r="AD51" s="241">
        <v>0</v>
      </c>
      <c r="AE51" s="240">
        <v>0</v>
      </c>
      <c r="AF51" s="240">
        <v>0</v>
      </c>
      <c r="AG51" s="245">
        <v>0</v>
      </c>
      <c r="AH51" s="241">
        <f>SUM(AC51:AG51)</f>
        <v>359.35</v>
      </c>
      <c r="AI51" s="241">
        <f>O51+AB51-AH51</f>
        <v>4185.6499999999996</v>
      </c>
      <c r="AJ51" s="241"/>
      <c r="AK51" s="255"/>
      <c r="AL51" s="255"/>
    </row>
    <row r="52" spans="2:38" ht="25.5" customHeight="1" x14ac:dyDescent="0.25">
      <c r="B52" s="160">
        <v>25</v>
      </c>
      <c r="C52" s="161" t="s">
        <v>483</v>
      </c>
      <c r="D52" s="161" t="s">
        <v>121</v>
      </c>
      <c r="E52" s="161"/>
      <c r="F52" s="161">
        <v>15</v>
      </c>
      <c r="G52" s="257">
        <v>222.73</v>
      </c>
      <c r="H52" s="241">
        <f>F52*G52</f>
        <v>3340.95</v>
      </c>
      <c r="I52" s="240">
        <v>0</v>
      </c>
      <c r="J52" s="240">
        <v>0</v>
      </c>
      <c r="K52" s="240">
        <v>0</v>
      </c>
      <c r="L52" s="240">
        <v>0</v>
      </c>
      <c r="M52" s="240">
        <v>0</v>
      </c>
      <c r="N52" s="240">
        <v>0</v>
      </c>
      <c r="O52" s="241">
        <f>SUM(H52:N52)</f>
        <v>3340.95</v>
      </c>
      <c r="P52" s="242"/>
      <c r="Q52" s="241">
        <f>IF(G52=47.16,0,IF(G52&gt;47.16,L52*0.5,0))</f>
        <v>0</v>
      </c>
      <c r="R52" s="241">
        <f>H52+I52+J52+M52+Q52+K52</f>
        <v>3340.95</v>
      </c>
      <c r="S52" s="241">
        <f>VLOOKUP(R52,TARIFA1,1)</f>
        <v>2699.41</v>
      </c>
      <c r="T52" s="241">
        <f>R52-S52</f>
        <v>641.54</v>
      </c>
      <c r="U52" s="243">
        <f>VLOOKUP(R52,TARIFA1,3)</f>
        <v>0.10879999999999999</v>
      </c>
      <c r="V52" s="241">
        <f>T52*U52</f>
        <v>69.799551999999991</v>
      </c>
      <c r="W52" s="241">
        <f>VLOOKUP(R52,TARIFA1,2)</f>
        <v>158.55000000000001</v>
      </c>
      <c r="X52" s="241">
        <f>V52+W52</f>
        <v>228.34955200000002</v>
      </c>
      <c r="Y52" s="241">
        <f>VLOOKUP(R52,Credito1,2)</f>
        <v>125.1</v>
      </c>
      <c r="Z52" s="241">
        <f>ROUND(X52-Y52,2)</f>
        <v>103.25</v>
      </c>
      <c r="AA52" s="244"/>
      <c r="AB52" s="241">
        <f>-IF(Z52&gt;0,0,Z52)</f>
        <v>0</v>
      </c>
      <c r="AC52" s="241">
        <f>IF(Z52&lt;0,0,Z52)</f>
        <v>103.25</v>
      </c>
      <c r="AD52" s="241">
        <v>0</v>
      </c>
      <c r="AE52" s="240">
        <v>0</v>
      </c>
      <c r="AF52" s="240">
        <v>0</v>
      </c>
      <c r="AG52" s="245">
        <v>0</v>
      </c>
      <c r="AH52" s="241">
        <f>SUM(AC52:AG52)</f>
        <v>103.25</v>
      </c>
      <c r="AI52" s="241">
        <f>O52+AB52-AH52</f>
        <v>3237.7</v>
      </c>
      <c r="AJ52" s="241"/>
      <c r="AK52" s="255" t="s">
        <v>275</v>
      </c>
      <c r="AL52" s="255"/>
    </row>
    <row r="53" spans="2:38" ht="25.5" customHeight="1" x14ac:dyDescent="0.25">
      <c r="B53" s="160"/>
      <c r="C53" s="161"/>
      <c r="D53" s="254" t="s">
        <v>111</v>
      </c>
      <c r="E53" s="420"/>
      <c r="F53" s="421"/>
      <c r="G53" s="258"/>
      <c r="H53" s="259">
        <f>SUM(H51:H52)</f>
        <v>7885.95</v>
      </c>
      <c r="I53" s="259">
        <f t="shared" ref="I53:AI53" si="25">SUM(I51:I52)</f>
        <v>0</v>
      </c>
      <c r="J53" s="259">
        <f t="shared" si="25"/>
        <v>0</v>
      </c>
      <c r="K53" s="259">
        <f t="shared" si="25"/>
        <v>0</v>
      </c>
      <c r="L53" s="259">
        <f t="shared" si="25"/>
        <v>0</v>
      </c>
      <c r="M53" s="259">
        <f t="shared" si="25"/>
        <v>0</v>
      </c>
      <c r="N53" s="259">
        <f t="shared" si="25"/>
        <v>0</v>
      </c>
      <c r="O53" s="259">
        <f t="shared" si="25"/>
        <v>7885.95</v>
      </c>
      <c r="P53" s="259">
        <f t="shared" si="25"/>
        <v>0</v>
      </c>
      <c r="Q53" s="259">
        <f t="shared" si="25"/>
        <v>0</v>
      </c>
      <c r="R53" s="259">
        <f t="shared" si="25"/>
        <v>7885.95</v>
      </c>
      <c r="S53" s="259">
        <f t="shared" si="25"/>
        <v>5398.82</v>
      </c>
      <c r="T53" s="259">
        <f t="shared" si="25"/>
        <v>2487.13</v>
      </c>
      <c r="U53" s="259">
        <f t="shared" si="25"/>
        <v>0.21759999999999999</v>
      </c>
      <c r="V53" s="259">
        <f t="shared" si="25"/>
        <v>270.59974399999999</v>
      </c>
      <c r="W53" s="259">
        <f t="shared" si="25"/>
        <v>317.10000000000002</v>
      </c>
      <c r="X53" s="259">
        <f t="shared" si="25"/>
        <v>587.69974400000001</v>
      </c>
      <c r="Y53" s="259">
        <f t="shared" si="25"/>
        <v>125.1</v>
      </c>
      <c r="Z53" s="259">
        <f t="shared" si="25"/>
        <v>462.6</v>
      </c>
      <c r="AA53" s="259">
        <f t="shared" si="25"/>
        <v>0</v>
      </c>
      <c r="AB53" s="259">
        <f t="shared" si="25"/>
        <v>0</v>
      </c>
      <c r="AC53" s="259">
        <f t="shared" si="25"/>
        <v>462.6</v>
      </c>
      <c r="AD53" s="259">
        <f t="shared" si="25"/>
        <v>0</v>
      </c>
      <c r="AE53" s="259">
        <f t="shared" si="25"/>
        <v>0</v>
      </c>
      <c r="AF53" s="259">
        <f t="shared" si="25"/>
        <v>0</v>
      </c>
      <c r="AG53" s="259">
        <f t="shared" si="25"/>
        <v>0</v>
      </c>
      <c r="AH53" s="259">
        <f t="shared" si="25"/>
        <v>462.6</v>
      </c>
      <c r="AI53" s="259">
        <f t="shared" si="25"/>
        <v>7423.3499999999995</v>
      </c>
      <c r="AJ53" s="241"/>
      <c r="AK53" s="255"/>
      <c r="AL53" s="263">
        <f>O53+AB53-AH53</f>
        <v>7423.3499999999995</v>
      </c>
    </row>
    <row r="54" spans="2:38" ht="27" customHeight="1" x14ac:dyDescent="0.25">
      <c r="B54" s="422" t="s">
        <v>123</v>
      </c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24"/>
      <c r="AK54" s="255"/>
      <c r="AL54" s="255"/>
    </row>
    <row r="55" spans="2:38" ht="24" customHeight="1" x14ac:dyDescent="0.25">
      <c r="B55" s="160">
        <v>26</v>
      </c>
      <c r="C55" s="161" t="s">
        <v>400</v>
      </c>
      <c r="D55" s="161" t="s">
        <v>113</v>
      </c>
      <c r="E55" s="211"/>
      <c r="F55" s="161">
        <v>15</v>
      </c>
      <c r="G55" s="257">
        <v>303</v>
      </c>
      <c r="H55" s="241">
        <f>F55*G55</f>
        <v>4545</v>
      </c>
      <c r="I55" s="240">
        <v>0</v>
      </c>
      <c r="J55" s="240">
        <v>0</v>
      </c>
      <c r="K55" s="240">
        <v>0</v>
      </c>
      <c r="L55" s="240">
        <v>0</v>
      </c>
      <c r="M55" s="240">
        <v>0</v>
      </c>
      <c r="N55" s="240">
        <v>0</v>
      </c>
      <c r="O55" s="241">
        <f>SUM(H55:N55)</f>
        <v>4545</v>
      </c>
      <c r="P55" s="242"/>
      <c r="Q55" s="241">
        <f>IF(G55=47.16,0,IF(G55&gt;47.16,L55*0.5,0))</f>
        <v>0</v>
      </c>
      <c r="R55" s="241">
        <f>H55+I55+J55+M55+Q55+K55</f>
        <v>4545</v>
      </c>
      <c r="S55" s="241">
        <f>VLOOKUP(R55,TARIFA1,1)</f>
        <v>2699.41</v>
      </c>
      <c r="T55" s="241">
        <f>R55-S55</f>
        <v>1845.5900000000001</v>
      </c>
      <c r="U55" s="243">
        <f>VLOOKUP(R55,TARIFA1,3)</f>
        <v>0.10879999999999999</v>
      </c>
      <c r="V55" s="241">
        <f>T55*U55</f>
        <v>200.80019200000001</v>
      </c>
      <c r="W55" s="241">
        <f>VLOOKUP(R55,TARIFA1,2)</f>
        <v>158.55000000000001</v>
      </c>
      <c r="X55" s="241">
        <f>V55+W55</f>
        <v>359.35019199999999</v>
      </c>
      <c r="Y55" s="241">
        <f>VLOOKUP(R55,Credito1,2)</f>
        <v>0</v>
      </c>
      <c r="Z55" s="241">
        <f>ROUND(X55-Y55,2)</f>
        <v>359.35</v>
      </c>
      <c r="AA55" s="244"/>
      <c r="AB55" s="241">
        <f>-IF(Z55&gt;0,0,Z55)</f>
        <v>0</v>
      </c>
      <c r="AC55" s="241">
        <f>IF(Z55&lt;0,0,Z55)</f>
        <v>359.35</v>
      </c>
      <c r="AD55" s="241">
        <v>0</v>
      </c>
      <c r="AE55" s="240">
        <v>0</v>
      </c>
      <c r="AF55" s="240">
        <v>0</v>
      </c>
      <c r="AG55" s="245">
        <v>0</v>
      </c>
      <c r="AH55" s="241">
        <f>SUM(AC55:AG55)</f>
        <v>359.35</v>
      </c>
      <c r="AI55" s="241">
        <f>O55+AB55-AH55</f>
        <v>4185.6499999999996</v>
      </c>
      <c r="AJ55" s="241"/>
      <c r="AK55" s="255"/>
      <c r="AL55" s="255"/>
    </row>
    <row r="56" spans="2:38" ht="25.5" customHeight="1" x14ac:dyDescent="0.25">
      <c r="B56" s="160">
        <v>27</v>
      </c>
      <c r="C56" s="161" t="s">
        <v>448</v>
      </c>
      <c r="D56" s="161" t="s">
        <v>242</v>
      </c>
      <c r="E56" s="211"/>
      <c r="F56" s="161">
        <v>15</v>
      </c>
      <c r="G56" s="257">
        <v>130.4</v>
      </c>
      <c r="H56" s="241">
        <v>1956</v>
      </c>
      <c r="I56" s="240">
        <v>0</v>
      </c>
      <c r="J56" s="240">
        <v>0</v>
      </c>
      <c r="K56" s="240">
        <v>0</v>
      </c>
      <c r="L56" s="240">
        <v>0</v>
      </c>
      <c r="M56" s="240">
        <v>0</v>
      </c>
      <c r="N56" s="240">
        <v>0</v>
      </c>
      <c r="O56" s="241">
        <f>SUM(H56:N56)</f>
        <v>1956</v>
      </c>
      <c r="P56" s="242"/>
      <c r="Q56" s="241">
        <f>IF(G56=47.16,0,IF(G56&gt;47.16,L56*0.5,0))</f>
        <v>0</v>
      </c>
      <c r="R56" s="241">
        <f>H56+I56+J56+M56+Q56+K56</f>
        <v>1956</v>
      </c>
      <c r="S56" s="241">
        <f>VLOOKUP(R56,TARIFA1,1)</f>
        <v>318.01</v>
      </c>
      <c r="T56" s="241">
        <f>R56-S56</f>
        <v>1637.99</v>
      </c>
      <c r="U56" s="243">
        <f>VLOOKUP(R56,TARIFA1,3)</f>
        <v>6.4000000000000001E-2</v>
      </c>
      <c r="V56" s="241">
        <f>T56*U56</f>
        <v>104.83136</v>
      </c>
      <c r="W56" s="241">
        <f>VLOOKUP(R56,TARIFA1,2)</f>
        <v>6.15</v>
      </c>
      <c r="X56" s="241">
        <f>V56+W56</f>
        <v>110.98136000000001</v>
      </c>
      <c r="Y56" s="241">
        <f>VLOOKUP(R56,Credito1,2)</f>
        <v>188.7</v>
      </c>
      <c r="Z56" s="241">
        <f>ROUND(X56-Y56,2)</f>
        <v>-77.72</v>
      </c>
      <c r="AA56" s="244"/>
      <c r="AB56" s="241">
        <f>-IF(Z56&gt;0,0,Z56)</f>
        <v>77.72</v>
      </c>
      <c r="AC56" s="241">
        <f>IF(Z56&lt;0,0,Z56)</f>
        <v>0</v>
      </c>
      <c r="AD56" s="241">
        <v>0</v>
      </c>
      <c r="AE56" s="240">
        <v>0</v>
      </c>
      <c r="AF56" s="240">
        <v>0</v>
      </c>
      <c r="AG56" s="245">
        <v>0</v>
      </c>
      <c r="AH56" s="241">
        <f>SUM(AC56:AG56)</f>
        <v>0</v>
      </c>
      <c r="AI56" s="241">
        <f>O56+AB56-AH56</f>
        <v>2033.72</v>
      </c>
      <c r="AJ56" s="241"/>
      <c r="AK56" s="255"/>
      <c r="AL56" s="255"/>
    </row>
    <row r="57" spans="2:38" ht="25.5" customHeight="1" x14ac:dyDescent="0.25">
      <c r="B57" s="160"/>
      <c r="C57" s="161"/>
      <c r="D57" s="254" t="s">
        <v>111</v>
      </c>
      <c r="E57" s="420"/>
      <c r="F57" s="421"/>
      <c r="G57" s="258"/>
      <c r="H57" s="259">
        <f>SUM(H55:H56)</f>
        <v>6501</v>
      </c>
      <c r="I57" s="259">
        <f t="shared" ref="I57:AI57" si="26">SUM(I55:I56)</f>
        <v>0</v>
      </c>
      <c r="J57" s="259">
        <f t="shared" si="26"/>
        <v>0</v>
      </c>
      <c r="K57" s="259">
        <f t="shared" si="26"/>
        <v>0</v>
      </c>
      <c r="L57" s="259">
        <f t="shared" si="26"/>
        <v>0</v>
      </c>
      <c r="M57" s="259">
        <f t="shared" si="26"/>
        <v>0</v>
      </c>
      <c r="N57" s="259">
        <f t="shared" si="26"/>
        <v>0</v>
      </c>
      <c r="O57" s="259">
        <f t="shared" si="26"/>
        <v>6501</v>
      </c>
      <c r="P57" s="259">
        <f t="shared" si="26"/>
        <v>0</v>
      </c>
      <c r="Q57" s="259">
        <f t="shared" si="26"/>
        <v>0</v>
      </c>
      <c r="R57" s="259">
        <f t="shared" si="26"/>
        <v>6501</v>
      </c>
      <c r="S57" s="259">
        <f t="shared" si="26"/>
        <v>3017.42</v>
      </c>
      <c r="T57" s="259">
        <f t="shared" si="26"/>
        <v>3483.58</v>
      </c>
      <c r="U57" s="259">
        <f t="shared" si="26"/>
        <v>0.17280000000000001</v>
      </c>
      <c r="V57" s="259">
        <f t="shared" si="26"/>
        <v>305.631552</v>
      </c>
      <c r="W57" s="259">
        <f t="shared" si="26"/>
        <v>164.70000000000002</v>
      </c>
      <c r="X57" s="259">
        <f t="shared" si="26"/>
        <v>470.33155199999999</v>
      </c>
      <c r="Y57" s="259">
        <f t="shared" si="26"/>
        <v>188.7</v>
      </c>
      <c r="Z57" s="259">
        <f t="shared" si="26"/>
        <v>281.63</v>
      </c>
      <c r="AA57" s="259">
        <f t="shared" si="26"/>
        <v>0</v>
      </c>
      <c r="AB57" s="259">
        <f t="shared" si="26"/>
        <v>77.72</v>
      </c>
      <c r="AC57" s="259">
        <f t="shared" si="26"/>
        <v>359.35</v>
      </c>
      <c r="AD57" s="259">
        <f t="shared" si="26"/>
        <v>0</v>
      </c>
      <c r="AE57" s="259">
        <f t="shared" si="26"/>
        <v>0</v>
      </c>
      <c r="AF57" s="259">
        <f t="shared" si="26"/>
        <v>0</v>
      </c>
      <c r="AG57" s="259">
        <f t="shared" si="26"/>
        <v>0</v>
      </c>
      <c r="AH57" s="259">
        <f t="shared" si="26"/>
        <v>359.35</v>
      </c>
      <c r="AI57" s="259">
        <f t="shared" si="26"/>
        <v>6219.37</v>
      </c>
      <c r="AJ57" s="160"/>
      <c r="AK57" s="255"/>
      <c r="AL57" s="261">
        <f>O57+AB57-AH57</f>
        <v>6219.37</v>
      </c>
    </row>
    <row r="58" spans="2:38" s="103" customFormat="1" ht="26.25" customHeight="1" x14ac:dyDescent="0.25">
      <c r="B58" s="422" t="s">
        <v>174</v>
      </c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4"/>
      <c r="AK58" s="255"/>
      <c r="AL58" s="255"/>
    </row>
    <row r="59" spans="2:38" s="103" customFormat="1" ht="22.5" customHeight="1" x14ac:dyDescent="0.25">
      <c r="B59" s="160">
        <v>28</v>
      </c>
      <c r="C59" s="161" t="s">
        <v>388</v>
      </c>
      <c r="D59" s="161" t="s">
        <v>113</v>
      </c>
      <c r="E59" s="211"/>
      <c r="F59" s="161">
        <v>15</v>
      </c>
      <c r="G59" s="257">
        <v>303</v>
      </c>
      <c r="H59" s="241">
        <f>F59*G59</f>
        <v>4545</v>
      </c>
      <c r="I59" s="240">
        <v>0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1">
        <f>SUM(H59:N59)</f>
        <v>4545</v>
      </c>
      <c r="P59" s="242"/>
      <c r="Q59" s="241">
        <f>IF(G59=47.16,0,IF(G59&gt;47.16,L59*0.5,0))</f>
        <v>0</v>
      </c>
      <c r="R59" s="241">
        <f>H59+I59+J59+M59+Q59+K59</f>
        <v>4545</v>
      </c>
      <c r="S59" s="241">
        <f>VLOOKUP(R59,TARIFA1,1)</f>
        <v>2699.41</v>
      </c>
      <c r="T59" s="241">
        <f>R59-S59</f>
        <v>1845.5900000000001</v>
      </c>
      <c r="U59" s="243">
        <f>VLOOKUP(R59,TARIFA1,3)</f>
        <v>0.10879999999999999</v>
      </c>
      <c r="V59" s="241">
        <f>T59*U59</f>
        <v>200.80019200000001</v>
      </c>
      <c r="W59" s="241">
        <f>VLOOKUP(R59,TARIFA1,2)</f>
        <v>158.55000000000001</v>
      </c>
      <c r="X59" s="241">
        <f>V59+W59</f>
        <v>359.35019199999999</v>
      </c>
      <c r="Y59" s="241">
        <f>VLOOKUP(R59,Credito1,2)</f>
        <v>0</v>
      </c>
      <c r="Z59" s="241">
        <f>ROUND(X59-Y59,2)</f>
        <v>359.35</v>
      </c>
      <c r="AA59" s="244"/>
      <c r="AB59" s="241">
        <f>-IF(Z59&gt;0,0,Z59)</f>
        <v>0</v>
      </c>
      <c r="AC59" s="241">
        <f>IF(Z59&lt;0,0,Z59)</f>
        <v>359.35</v>
      </c>
      <c r="AD59" s="241">
        <v>0</v>
      </c>
      <c r="AE59" s="240">
        <v>0</v>
      </c>
      <c r="AF59" s="240">
        <v>0</v>
      </c>
      <c r="AG59" s="245">
        <v>0</v>
      </c>
      <c r="AH59" s="241">
        <f>SUM(AC59:AG59)</f>
        <v>359.35</v>
      </c>
      <c r="AI59" s="241">
        <f>O59+AB59-AH59</f>
        <v>4185.6499999999996</v>
      </c>
      <c r="AJ59" s="241"/>
      <c r="AK59" s="255"/>
      <c r="AL59" s="255"/>
    </row>
    <row r="60" spans="2:38" s="103" customFormat="1" ht="21" customHeight="1" x14ac:dyDescent="0.25">
      <c r="B60" s="160"/>
      <c r="C60" s="161"/>
      <c r="D60" s="254" t="s">
        <v>111</v>
      </c>
      <c r="E60" s="420"/>
      <c r="F60" s="421"/>
      <c r="G60" s="258"/>
      <c r="H60" s="259">
        <f t="shared" ref="H60:O60" si="27">SUM(H59:H59)</f>
        <v>4545</v>
      </c>
      <c r="I60" s="259">
        <f t="shared" si="27"/>
        <v>0</v>
      </c>
      <c r="J60" s="259">
        <f t="shared" si="27"/>
        <v>0</v>
      </c>
      <c r="K60" s="259">
        <f t="shared" si="27"/>
        <v>0</v>
      </c>
      <c r="L60" s="259">
        <f t="shared" si="27"/>
        <v>0</v>
      </c>
      <c r="M60" s="259">
        <f t="shared" si="27"/>
        <v>0</v>
      </c>
      <c r="N60" s="259">
        <f t="shared" si="27"/>
        <v>0</v>
      </c>
      <c r="O60" s="259">
        <f t="shared" si="27"/>
        <v>4545</v>
      </c>
      <c r="P60" s="259"/>
      <c r="Q60" s="259">
        <f t="shared" ref="Q60:Z60" si="28">SUM(Q59:Q59)</f>
        <v>0</v>
      </c>
      <c r="R60" s="259">
        <f t="shared" si="28"/>
        <v>4545</v>
      </c>
      <c r="S60" s="259">
        <f t="shared" si="28"/>
        <v>2699.41</v>
      </c>
      <c r="T60" s="259">
        <f t="shared" si="28"/>
        <v>1845.5900000000001</v>
      </c>
      <c r="U60" s="259">
        <f t="shared" si="28"/>
        <v>0.10879999999999999</v>
      </c>
      <c r="V60" s="259">
        <f t="shared" si="28"/>
        <v>200.80019200000001</v>
      </c>
      <c r="W60" s="259">
        <f t="shared" si="28"/>
        <v>158.55000000000001</v>
      </c>
      <c r="X60" s="259">
        <f t="shared" si="28"/>
        <v>359.35019199999999</v>
      </c>
      <c r="Y60" s="259">
        <f t="shared" si="28"/>
        <v>0</v>
      </c>
      <c r="Z60" s="259">
        <f t="shared" si="28"/>
        <v>359.35</v>
      </c>
      <c r="AA60" s="259"/>
      <c r="AB60" s="259">
        <f t="shared" ref="AB60:AI60" si="29">SUM(AB59:AB59)</f>
        <v>0</v>
      </c>
      <c r="AC60" s="259">
        <f t="shared" si="29"/>
        <v>359.35</v>
      </c>
      <c r="AD60" s="259">
        <f t="shared" si="29"/>
        <v>0</v>
      </c>
      <c r="AE60" s="259">
        <f t="shared" si="29"/>
        <v>0</v>
      </c>
      <c r="AF60" s="259">
        <f t="shared" si="29"/>
        <v>0</v>
      </c>
      <c r="AG60" s="259">
        <f t="shared" si="29"/>
        <v>0</v>
      </c>
      <c r="AH60" s="259">
        <f t="shared" si="29"/>
        <v>359.35</v>
      </c>
      <c r="AI60" s="259">
        <f t="shared" si="29"/>
        <v>4185.6499999999996</v>
      </c>
      <c r="AJ60" s="160"/>
      <c r="AK60" s="255"/>
      <c r="AL60" s="261">
        <f>O60+AB60-AH60</f>
        <v>4185.6499999999996</v>
      </c>
    </row>
    <row r="61" spans="2:38" s="103" customFormat="1" ht="22.5" customHeight="1" x14ac:dyDescent="0.25">
      <c r="B61" s="426" t="s">
        <v>124</v>
      </c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6"/>
      <c r="AJ61" s="426"/>
      <c r="AK61" s="255"/>
      <c r="AL61" s="255"/>
    </row>
    <row r="62" spans="2:38" s="103" customFormat="1" ht="21" customHeight="1" x14ac:dyDescent="0.25">
      <c r="B62" s="160">
        <v>29</v>
      </c>
      <c r="C62" s="161" t="s">
        <v>529</v>
      </c>
      <c r="D62" s="161" t="s">
        <v>179</v>
      </c>
      <c r="E62" s="211"/>
      <c r="F62" s="161">
        <v>15</v>
      </c>
      <c r="G62" s="257">
        <v>106.67</v>
      </c>
      <c r="H62" s="241">
        <f>F62*G62</f>
        <v>1600.05</v>
      </c>
      <c r="I62" s="240">
        <v>0</v>
      </c>
      <c r="J62" s="240">
        <v>0</v>
      </c>
      <c r="K62" s="240">
        <v>0</v>
      </c>
      <c r="L62" s="240">
        <v>0</v>
      </c>
      <c r="M62" s="240">
        <v>0</v>
      </c>
      <c r="N62" s="240">
        <v>0</v>
      </c>
      <c r="O62" s="241">
        <f>SUM(H62:N62)</f>
        <v>1600.05</v>
      </c>
      <c r="P62" s="242"/>
      <c r="Q62" s="241">
        <f>IF(G62=47.16,0,IF(G62&gt;47.16,L62*0.5,0))</f>
        <v>0</v>
      </c>
      <c r="R62" s="241">
        <f>H62+I62+J62+M62+Q62+K62</f>
        <v>1600.05</v>
      </c>
      <c r="S62" s="241">
        <f>VLOOKUP(R62,TARIFA1,1)</f>
        <v>318.01</v>
      </c>
      <c r="T62" s="241">
        <f>R62-S62</f>
        <v>1282.04</v>
      </c>
      <c r="U62" s="243">
        <f>VLOOKUP(R62,TARIFA1,3)</f>
        <v>6.4000000000000001E-2</v>
      </c>
      <c r="V62" s="241">
        <f>T62*U62</f>
        <v>82.050560000000004</v>
      </c>
      <c r="W62" s="241">
        <f>VLOOKUP(R62,TARIFA1,2)</f>
        <v>6.15</v>
      </c>
      <c r="X62" s="241">
        <f>V62+W62</f>
        <v>88.20056000000001</v>
      </c>
      <c r="Y62" s="241">
        <f>VLOOKUP(R62,Credito1,2)</f>
        <v>200.7</v>
      </c>
      <c r="Z62" s="241">
        <f>ROUND(X62-Y62,2)</f>
        <v>-112.5</v>
      </c>
      <c r="AA62" s="244"/>
      <c r="AB62" s="241">
        <f>-IF(Z62&gt;0,0,Z62)</f>
        <v>112.5</v>
      </c>
      <c r="AC62" s="241">
        <f>IF(Z62&lt;0,0,Z62)</f>
        <v>0</v>
      </c>
      <c r="AD62" s="241">
        <v>0</v>
      </c>
      <c r="AE62" s="240">
        <v>0</v>
      </c>
      <c r="AF62" s="240">
        <v>0</v>
      </c>
      <c r="AG62" s="245">
        <v>0</v>
      </c>
      <c r="AH62" s="241">
        <f>SUM(AC62:AG62)</f>
        <v>0</v>
      </c>
      <c r="AI62" s="241">
        <f>O62+AB62-AH62</f>
        <v>1712.55</v>
      </c>
      <c r="AJ62" s="241"/>
      <c r="AK62" s="255"/>
      <c r="AL62" s="255"/>
    </row>
    <row r="63" spans="2:38" s="103" customFormat="1" ht="21" customHeight="1" x14ac:dyDescent="0.25">
      <c r="B63" s="160">
        <v>30</v>
      </c>
      <c r="C63" s="161" t="s">
        <v>468</v>
      </c>
      <c r="D63" s="161" t="s">
        <v>179</v>
      </c>
      <c r="E63" s="211"/>
      <c r="F63" s="161">
        <v>15</v>
      </c>
      <c r="G63" s="257">
        <v>106.67</v>
      </c>
      <c r="H63" s="241">
        <f>F63*G63</f>
        <v>1600.05</v>
      </c>
      <c r="I63" s="240">
        <v>0</v>
      </c>
      <c r="J63" s="240">
        <v>0</v>
      </c>
      <c r="K63" s="240">
        <v>0</v>
      </c>
      <c r="L63" s="240">
        <v>0</v>
      </c>
      <c r="M63" s="240">
        <v>0</v>
      </c>
      <c r="N63" s="240">
        <v>0</v>
      </c>
      <c r="O63" s="241">
        <f>SUM(H63:N63)</f>
        <v>1600.05</v>
      </c>
      <c r="P63" s="242"/>
      <c r="Q63" s="241">
        <v>0</v>
      </c>
      <c r="R63" s="241">
        <f>H63+I63+J63+M63+Q63+K63</f>
        <v>1600.05</v>
      </c>
      <c r="S63" s="241">
        <f>VLOOKUP(R63,TARIFA1,1)</f>
        <v>318.01</v>
      </c>
      <c r="T63" s="241">
        <f>R63-S63</f>
        <v>1282.04</v>
      </c>
      <c r="U63" s="243">
        <f>VLOOKUP(R63,TARIFA1,3)</f>
        <v>6.4000000000000001E-2</v>
      </c>
      <c r="V63" s="241">
        <f>T63*U63</f>
        <v>82.050560000000004</v>
      </c>
      <c r="W63" s="241">
        <f>VLOOKUP(R63,TARIFA1,2)</f>
        <v>6.15</v>
      </c>
      <c r="X63" s="241">
        <f>V63+W63</f>
        <v>88.20056000000001</v>
      </c>
      <c r="Y63" s="241">
        <f>VLOOKUP(R63,Credito1,2)</f>
        <v>200.7</v>
      </c>
      <c r="Z63" s="241">
        <f>ROUND(X63-Y63,2)</f>
        <v>-112.5</v>
      </c>
      <c r="AA63" s="244"/>
      <c r="AB63" s="241">
        <f>-IF(Z63&gt;0,0,Z63)</f>
        <v>112.5</v>
      </c>
      <c r="AC63" s="241">
        <f>IF(Z63&lt;0,0,Z63)</f>
        <v>0</v>
      </c>
      <c r="AD63" s="241">
        <v>0</v>
      </c>
      <c r="AE63" s="240">
        <v>0</v>
      </c>
      <c r="AF63" s="240">
        <v>0</v>
      </c>
      <c r="AG63" s="245">
        <v>0</v>
      </c>
      <c r="AH63" s="241">
        <f>SUM(AC63:AG63)</f>
        <v>0</v>
      </c>
      <c r="AI63" s="241">
        <f>O63+AB63-AH63</f>
        <v>1712.55</v>
      </c>
      <c r="AJ63" s="241"/>
      <c r="AK63" s="255"/>
      <c r="AL63" s="255"/>
    </row>
    <row r="64" spans="2:38" s="103" customFormat="1" ht="18" customHeight="1" x14ac:dyDescent="0.25">
      <c r="B64" s="160"/>
      <c r="C64" s="161"/>
      <c r="D64" s="254" t="s">
        <v>111</v>
      </c>
      <c r="E64" s="254"/>
      <c r="F64" s="161">
        <v>15</v>
      </c>
      <c r="G64" s="258"/>
      <c r="H64" s="259">
        <f>SUM(H62:H63)</f>
        <v>3200.1</v>
      </c>
      <c r="I64" s="259">
        <f t="shared" ref="I64:N64" si="30">SUM(I62:I62)</f>
        <v>0</v>
      </c>
      <c r="J64" s="259">
        <f t="shared" si="30"/>
        <v>0</v>
      </c>
      <c r="K64" s="259">
        <f t="shared" si="30"/>
        <v>0</v>
      </c>
      <c r="L64" s="259">
        <f t="shared" si="30"/>
        <v>0</v>
      </c>
      <c r="M64" s="259">
        <f t="shared" si="30"/>
        <v>0</v>
      </c>
      <c r="N64" s="259">
        <f t="shared" si="30"/>
        <v>0</v>
      </c>
      <c r="O64" s="259">
        <f>SUM(O62:O63)</f>
        <v>3200.1</v>
      </c>
      <c r="P64" s="259">
        <f>SUM(P62:P62)</f>
        <v>0</v>
      </c>
      <c r="Q64" s="259">
        <f>SUM(Q62:Q62)</f>
        <v>0</v>
      </c>
      <c r="R64" s="259">
        <f>SUM(R62:R62)</f>
        <v>1600.05</v>
      </c>
      <c r="S64" s="241">
        <f>VLOOKUP(R64,TARIFA1,1)</f>
        <v>318.01</v>
      </c>
      <c r="T64" s="259">
        <f t="shared" ref="T64:Z64" si="31">SUM(T62:T62)</f>
        <v>1282.04</v>
      </c>
      <c r="U64" s="259">
        <f t="shared" si="31"/>
        <v>6.4000000000000001E-2</v>
      </c>
      <c r="V64" s="259">
        <f t="shared" si="31"/>
        <v>82.050560000000004</v>
      </c>
      <c r="W64" s="259">
        <f t="shared" si="31"/>
        <v>6.15</v>
      </c>
      <c r="X64" s="259">
        <f t="shared" si="31"/>
        <v>88.20056000000001</v>
      </c>
      <c r="Y64" s="259">
        <f t="shared" si="31"/>
        <v>200.7</v>
      </c>
      <c r="Z64" s="259">
        <f t="shared" si="31"/>
        <v>-112.5</v>
      </c>
      <c r="AA64" s="259"/>
      <c r="AB64" s="259">
        <f>SUM(AB62:AB63)</f>
        <v>225</v>
      </c>
      <c r="AC64" s="259">
        <f>SUM(AC62:AC63)</f>
        <v>0</v>
      </c>
      <c r="AD64" s="259">
        <f>SUM(AD62:AD62)</f>
        <v>0</v>
      </c>
      <c r="AE64" s="259">
        <f>SUM(AE62:AE62)</f>
        <v>0</v>
      </c>
      <c r="AF64" s="259">
        <f>SUM(AF62:AF62)</f>
        <v>0</v>
      </c>
      <c r="AG64" s="259">
        <f>SUM(AG62:AG62)</f>
        <v>0</v>
      </c>
      <c r="AH64" s="259">
        <f>SUM(AH62:AH63)</f>
        <v>0</v>
      </c>
      <c r="AI64" s="259">
        <f>SUM(AI62:AI63)</f>
        <v>3425.1</v>
      </c>
      <c r="AJ64" s="160"/>
      <c r="AK64" s="255"/>
      <c r="AL64" s="261">
        <f>O64+AB64-AH64</f>
        <v>3425.1</v>
      </c>
    </row>
    <row r="65" spans="2:38" ht="24" customHeight="1" x14ac:dyDescent="0.25">
      <c r="B65" s="422" t="s">
        <v>125</v>
      </c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3"/>
      <c r="AF65" s="423"/>
      <c r="AG65" s="423"/>
      <c r="AH65" s="423"/>
      <c r="AI65" s="423"/>
      <c r="AJ65" s="424"/>
      <c r="AK65" s="255"/>
      <c r="AL65" s="255"/>
    </row>
    <row r="66" spans="2:38" s="103" customFormat="1" ht="21" customHeight="1" x14ac:dyDescent="0.25">
      <c r="B66" s="160">
        <v>31</v>
      </c>
      <c r="C66" s="160" t="s">
        <v>467</v>
      </c>
      <c r="D66" s="161" t="s">
        <v>241</v>
      </c>
      <c r="E66" s="211"/>
      <c r="F66" s="161">
        <v>15</v>
      </c>
      <c r="G66" s="257">
        <v>448.4</v>
      </c>
      <c r="H66" s="241">
        <f>F66*G66</f>
        <v>6726</v>
      </c>
      <c r="I66" s="241">
        <v>0</v>
      </c>
      <c r="J66" s="241">
        <v>0</v>
      </c>
      <c r="K66" s="241">
        <v>0</v>
      </c>
      <c r="L66" s="241">
        <v>0</v>
      </c>
      <c r="M66" s="241">
        <v>0</v>
      </c>
      <c r="N66" s="241">
        <v>0</v>
      </c>
      <c r="O66" s="241">
        <f t="shared" ref="O66:O71" si="32">SUM(H66:N66)</f>
        <v>6726</v>
      </c>
      <c r="P66" s="241"/>
      <c r="Q66" s="241">
        <v>0</v>
      </c>
      <c r="R66" s="241">
        <f t="shared" ref="R66:R71" si="33">H66+I66+J66+M66+Q66+K66</f>
        <v>6726</v>
      </c>
      <c r="S66" s="241">
        <f t="shared" ref="S66:S71" si="34">VLOOKUP(R66,TARIFA1,1)</f>
        <v>6602.71</v>
      </c>
      <c r="T66" s="241">
        <f t="shared" ref="T66:T71" si="35">R66-S66</f>
        <v>123.28999999999996</v>
      </c>
      <c r="U66" s="243">
        <f t="shared" ref="U66:U71" si="36">VLOOKUP(R66,TARIFA1,3)</f>
        <v>0.21360000000000001</v>
      </c>
      <c r="V66" s="241">
        <f t="shared" ref="V66:V71" si="37">T66*U66</f>
        <v>26.334743999999993</v>
      </c>
      <c r="W66" s="241">
        <f t="shared" ref="W66:W71" si="38">VLOOKUP(R66,TARIFA1,2)</f>
        <v>699.3</v>
      </c>
      <c r="X66" s="241">
        <f t="shared" ref="X66:X71" si="39">V66+W66</f>
        <v>725.63474399999996</v>
      </c>
      <c r="Y66" s="241">
        <f t="shared" ref="Y66:Y71" si="40">VLOOKUP(R66,Credito1,2)</f>
        <v>0</v>
      </c>
      <c r="Z66" s="241">
        <f t="shared" ref="Z66:Z71" si="41">ROUND(X66-Y66,2)</f>
        <v>725.63</v>
      </c>
      <c r="AA66" s="241"/>
      <c r="AB66" s="241">
        <f t="shared" ref="AB66:AB71" si="42">-IF(Z66&gt;0,0,Z66)</f>
        <v>0</v>
      </c>
      <c r="AC66" s="241">
        <f t="shared" ref="AC66:AC71" si="43">IF(Z66&lt;0,0,Z66)</f>
        <v>725.63</v>
      </c>
      <c r="AD66" s="241">
        <v>0</v>
      </c>
      <c r="AE66" s="241">
        <v>0</v>
      </c>
      <c r="AF66" s="241">
        <v>0</v>
      </c>
      <c r="AG66" s="241">
        <v>0</v>
      </c>
      <c r="AH66" s="241">
        <f t="shared" ref="AH66:AH71" si="44">SUM(AC66:AG66)</f>
        <v>725.63</v>
      </c>
      <c r="AI66" s="241">
        <f t="shared" ref="AI66:AI71" si="45">O66+AB66-AH66</f>
        <v>6000.37</v>
      </c>
      <c r="AJ66" s="241"/>
      <c r="AK66" s="255"/>
      <c r="AL66" s="255"/>
    </row>
    <row r="67" spans="2:38" ht="22.5" customHeight="1" x14ac:dyDescent="0.25">
      <c r="B67" s="160">
        <v>32</v>
      </c>
      <c r="C67" s="161" t="s">
        <v>491</v>
      </c>
      <c r="D67" s="161" t="s">
        <v>121</v>
      </c>
      <c r="E67" s="211"/>
      <c r="F67" s="161">
        <v>15</v>
      </c>
      <c r="G67" s="257">
        <v>251.93</v>
      </c>
      <c r="H67" s="241">
        <f t="shared" ref="H67:H70" si="46">F67*G67</f>
        <v>3778.9500000000003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1">
        <f t="shared" si="32"/>
        <v>3778.9500000000003</v>
      </c>
      <c r="P67" s="242"/>
      <c r="Q67" s="241">
        <f t="shared" ref="Q67:Q71" si="47">IF(G67=47.16,0,IF(G67&gt;47.16,L67*0.5,0))</f>
        <v>0</v>
      </c>
      <c r="R67" s="241">
        <f t="shared" si="33"/>
        <v>3778.9500000000003</v>
      </c>
      <c r="S67" s="241">
        <f t="shared" si="34"/>
        <v>2699.41</v>
      </c>
      <c r="T67" s="241">
        <f t="shared" si="35"/>
        <v>1079.5400000000004</v>
      </c>
      <c r="U67" s="243">
        <f t="shared" si="36"/>
        <v>0.10879999999999999</v>
      </c>
      <c r="V67" s="241">
        <f t="shared" si="37"/>
        <v>117.45395200000004</v>
      </c>
      <c r="W67" s="241">
        <f t="shared" si="38"/>
        <v>158.55000000000001</v>
      </c>
      <c r="X67" s="241">
        <f t="shared" si="39"/>
        <v>276.00395200000003</v>
      </c>
      <c r="Y67" s="241">
        <f t="shared" si="40"/>
        <v>0</v>
      </c>
      <c r="Z67" s="241">
        <f t="shared" si="41"/>
        <v>276</v>
      </c>
      <c r="AA67" s="244"/>
      <c r="AB67" s="241">
        <f t="shared" si="42"/>
        <v>0</v>
      </c>
      <c r="AC67" s="241">
        <f t="shared" si="43"/>
        <v>276</v>
      </c>
      <c r="AD67" s="241">
        <v>0</v>
      </c>
      <c r="AE67" s="240">
        <v>0</v>
      </c>
      <c r="AF67" s="240">
        <v>0</v>
      </c>
      <c r="AG67" s="245">
        <v>0</v>
      </c>
      <c r="AH67" s="241">
        <f t="shared" si="44"/>
        <v>276</v>
      </c>
      <c r="AI67" s="241">
        <f t="shared" si="45"/>
        <v>3502.9500000000003</v>
      </c>
      <c r="AJ67" s="241"/>
      <c r="AK67" s="255"/>
      <c r="AL67" s="255"/>
    </row>
    <row r="68" spans="2:38" ht="22.5" customHeight="1" x14ac:dyDescent="0.25">
      <c r="B68" s="160">
        <v>33</v>
      </c>
      <c r="C68" s="161" t="s">
        <v>444</v>
      </c>
      <c r="D68" s="161" t="s">
        <v>126</v>
      </c>
      <c r="E68" s="211"/>
      <c r="F68" s="161">
        <v>15</v>
      </c>
      <c r="G68" s="257">
        <v>168.07</v>
      </c>
      <c r="H68" s="241">
        <f t="shared" si="46"/>
        <v>2521.0499999999997</v>
      </c>
      <c r="I68" s="240">
        <v>0</v>
      </c>
      <c r="J68" s="240">
        <v>0</v>
      </c>
      <c r="K68" s="240">
        <v>0</v>
      </c>
      <c r="L68" s="240">
        <v>0</v>
      </c>
      <c r="M68" s="240">
        <v>0</v>
      </c>
      <c r="N68" s="240">
        <v>0</v>
      </c>
      <c r="O68" s="241">
        <f t="shared" si="32"/>
        <v>2521.0499999999997</v>
      </c>
      <c r="P68" s="242"/>
      <c r="Q68" s="241">
        <f t="shared" si="47"/>
        <v>0</v>
      </c>
      <c r="R68" s="241">
        <f t="shared" si="33"/>
        <v>2521.0499999999997</v>
      </c>
      <c r="S68" s="241">
        <f t="shared" si="34"/>
        <v>318.01</v>
      </c>
      <c r="T68" s="241">
        <f t="shared" si="35"/>
        <v>2203.04</v>
      </c>
      <c r="U68" s="243">
        <f t="shared" si="36"/>
        <v>6.4000000000000001E-2</v>
      </c>
      <c r="V68" s="241">
        <f t="shared" si="37"/>
        <v>140.99456000000001</v>
      </c>
      <c r="W68" s="241">
        <f t="shared" si="38"/>
        <v>6.15</v>
      </c>
      <c r="X68" s="241">
        <f t="shared" si="39"/>
        <v>147.14456000000001</v>
      </c>
      <c r="Y68" s="241">
        <f t="shared" si="40"/>
        <v>160.35</v>
      </c>
      <c r="Z68" s="241">
        <f t="shared" si="41"/>
        <v>-13.21</v>
      </c>
      <c r="AA68" s="244"/>
      <c r="AB68" s="241">
        <f t="shared" si="42"/>
        <v>13.21</v>
      </c>
      <c r="AC68" s="241">
        <f t="shared" si="43"/>
        <v>0</v>
      </c>
      <c r="AD68" s="241">
        <v>0</v>
      </c>
      <c r="AE68" s="240">
        <v>0</v>
      </c>
      <c r="AF68" s="240">
        <v>0</v>
      </c>
      <c r="AG68" s="245">
        <v>0</v>
      </c>
      <c r="AH68" s="241">
        <f t="shared" si="44"/>
        <v>0</v>
      </c>
      <c r="AI68" s="241">
        <f t="shared" si="45"/>
        <v>2534.2599999999998</v>
      </c>
      <c r="AJ68" s="241"/>
      <c r="AK68" s="255"/>
      <c r="AL68" s="255"/>
    </row>
    <row r="69" spans="2:38" ht="22.5" customHeight="1" x14ac:dyDescent="0.25">
      <c r="B69" s="160">
        <v>34</v>
      </c>
      <c r="C69" s="161" t="s">
        <v>508</v>
      </c>
      <c r="D69" s="161" t="s">
        <v>127</v>
      </c>
      <c r="E69" s="211"/>
      <c r="F69" s="161">
        <v>15</v>
      </c>
      <c r="G69" s="257">
        <v>168.07</v>
      </c>
      <c r="H69" s="241">
        <f t="shared" si="46"/>
        <v>2521.0499999999997</v>
      </c>
      <c r="I69" s="240">
        <v>0</v>
      </c>
      <c r="J69" s="240">
        <v>0</v>
      </c>
      <c r="K69" s="240">
        <v>0</v>
      </c>
      <c r="L69" s="240">
        <v>0</v>
      </c>
      <c r="M69" s="240">
        <v>0</v>
      </c>
      <c r="N69" s="240">
        <v>0</v>
      </c>
      <c r="O69" s="241">
        <f t="shared" si="32"/>
        <v>2521.0499999999997</v>
      </c>
      <c r="P69" s="242"/>
      <c r="Q69" s="241">
        <f t="shared" si="47"/>
        <v>0</v>
      </c>
      <c r="R69" s="241">
        <f t="shared" si="33"/>
        <v>2521.0499999999997</v>
      </c>
      <c r="S69" s="241">
        <f t="shared" si="34"/>
        <v>318.01</v>
      </c>
      <c r="T69" s="241">
        <f t="shared" si="35"/>
        <v>2203.04</v>
      </c>
      <c r="U69" s="243">
        <f t="shared" si="36"/>
        <v>6.4000000000000001E-2</v>
      </c>
      <c r="V69" s="241">
        <f t="shared" si="37"/>
        <v>140.99456000000001</v>
      </c>
      <c r="W69" s="241">
        <f t="shared" si="38"/>
        <v>6.15</v>
      </c>
      <c r="X69" s="241">
        <f t="shared" si="39"/>
        <v>147.14456000000001</v>
      </c>
      <c r="Y69" s="241">
        <f t="shared" si="40"/>
        <v>160.35</v>
      </c>
      <c r="Z69" s="241">
        <f t="shared" si="41"/>
        <v>-13.21</v>
      </c>
      <c r="AA69" s="244"/>
      <c r="AB69" s="241">
        <f t="shared" si="42"/>
        <v>13.21</v>
      </c>
      <c r="AC69" s="241">
        <f t="shared" si="43"/>
        <v>0</v>
      </c>
      <c r="AD69" s="241">
        <v>0</v>
      </c>
      <c r="AE69" s="240">
        <v>0</v>
      </c>
      <c r="AF69" s="240">
        <v>0</v>
      </c>
      <c r="AG69" s="245">
        <v>0</v>
      </c>
      <c r="AH69" s="241">
        <f t="shared" si="44"/>
        <v>0</v>
      </c>
      <c r="AI69" s="241">
        <f t="shared" si="45"/>
        <v>2534.2599999999998</v>
      </c>
      <c r="AJ69" s="241"/>
      <c r="AK69" s="255"/>
      <c r="AL69" s="255"/>
    </row>
    <row r="70" spans="2:38" ht="22.5" customHeight="1" x14ac:dyDescent="0.25">
      <c r="B70" s="160">
        <v>36</v>
      </c>
      <c r="C70" s="161" t="s">
        <v>412</v>
      </c>
      <c r="D70" s="161" t="s">
        <v>127</v>
      </c>
      <c r="E70" s="211"/>
      <c r="F70" s="161">
        <v>15</v>
      </c>
      <c r="G70" s="257">
        <v>168.07</v>
      </c>
      <c r="H70" s="241">
        <f t="shared" si="46"/>
        <v>2521.0499999999997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1">
        <f t="shared" si="32"/>
        <v>2521.0499999999997</v>
      </c>
      <c r="P70" s="242"/>
      <c r="Q70" s="241">
        <f t="shared" si="47"/>
        <v>0</v>
      </c>
      <c r="R70" s="241">
        <f t="shared" si="33"/>
        <v>2521.0499999999997</v>
      </c>
      <c r="S70" s="241">
        <f t="shared" si="34"/>
        <v>318.01</v>
      </c>
      <c r="T70" s="241">
        <f t="shared" si="35"/>
        <v>2203.04</v>
      </c>
      <c r="U70" s="243">
        <f t="shared" si="36"/>
        <v>6.4000000000000001E-2</v>
      </c>
      <c r="V70" s="241">
        <f t="shared" si="37"/>
        <v>140.99456000000001</v>
      </c>
      <c r="W70" s="241">
        <f t="shared" si="38"/>
        <v>6.15</v>
      </c>
      <c r="X70" s="241">
        <f t="shared" si="39"/>
        <v>147.14456000000001</v>
      </c>
      <c r="Y70" s="241">
        <f t="shared" si="40"/>
        <v>160.35</v>
      </c>
      <c r="Z70" s="241">
        <f t="shared" si="41"/>
        <v>-13.21</v>
      </c>
      <c r="AA70" s="244"/>
      <c r="AB70" s="241">
        <f t="shared" si="42"/>
        <v>13.21</v>
      </c>
      <c r="AC70" s="241">
        <f t="shared" si="43"/>
        <v>0</v>
      </c>
      <c r="AD70" s="241">
        <v>0</v>
      </c>
      <c r="AE70" s="240">
        <v>0</v>
      </c>
      <c r="AF70" s="240">
        <v>0</v>
      </c>
      <c r="AG70" s="245">
        <v>0</v>
      </c>
      <c r="AH70" s="241">
        <f t="shared" si="44"/>
        <v>0</v>
      </c>
      <c r="AI70" s="241">
        <f t="shared" si="45"/>
        <v>2534.2599999999998</v>
      </c>
      <c r="AJ70" s="241"/>
      <c r="AK70" s="255"/>
      <c r="AL70" s="255"/>
    </row>
    <row r="71" spans="2:38" ht="22.5" customHeight="1" x14ac:dyDescent="0.25">
      <c r="B71" s="160">
        <v>37</v>
      </c>
      <c r="C71" s="161" t="s">
        <v>494</v>
      </c>
      <c r="D71" s="161" t="s">
        <v>128</v>
      </c>
      <c r="E71" s="211"/>
      <c r="F71" s="161">
        <v>15</v>
      </c>
      <c r="G71" s="257">
        <v>284.13</v>
      </c>
      <c r="H71" s="241">
        <f>F71*G71</f>
        <v>4261.95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1">
        <f t="shared" si="32"/>
        <v>4261.95</v>
      </c>
      <c r="P71" s="242"/>
      <c r="Q71" s="241">
        <f t="shared" si="47"/>
        <v>0</v>
      </c>
      <c r="R71" s="241">
        <f t="shared" si="33"/>
        <v>4261.95</v>
      </c>
      <c r="S71" s="241">
        <f t="shared" si="34"/>
        <v>2699.41</v>
      </c>
      <c r="T71" s="241">
        <f t="shared" si="35"/>
        <v>1562.54</v>
      </c>
      <c r="U71" s="243">
        <f t="shared" si="36"/>
        <v>0.10879999999999999</v>
      </c>
      <c r="V71" s="241">
        <f t="shared" si="37"/>
        <v>170.00435199999998</v>
      </c>
      <c r="W71" s="241">
        <f t="shared" si="38"/>
        <v>158.55000000000001</v>
      </c>
      <c r="X71" s="241">
        <f t="shared" si="39"/>
        <v>328.55435199999999</v>
      </c>
      <c r="Y71" s="241">
        <f t="shared" si="40"/>
        <v>0</v>
      </c>
      <c r="Z71" s="241">
        <f t="shared" si="41"/>
        <v>328.55</v>
      </c>
      <c r="AA71" s="244"/>
      <c r="AB71" s="241">
        <f t="shared" si="42"/>
        <v>0</v>
      </c>
      <c r="AC71" s="241">
        <f t="shared" si="43"/>
        <v>328.55</v>
      </c>
      <c r="AD71" s="241">
        <v>0</v>
      </c>
      <c r="AE71" s="240">
        <v>0</v>
      </c>
      <c r="AF71" s="240">
        <v>0</v>
      </c>
      <c r="AG71" s="245">
        <v>0</v>
      </c>
      <c r="AH71" s="241">
        <f t="shared" si="44"/>
        <v>328.55</v>
      </c>
      <c r="AI71" s="241">
        <f t="shared" si="45"/>
        <v>3933.3999999999996</v>
      </c>
      <c r="AJ71" s="241"/>
      <c r="AK71" s="255"/>
      <c r="AL71" s="255"/>
    </row>
    <row r="72" spans="2:38" ht="19.5" customHeight="1" x14ac:dyDescent="0.25">
      <c r="B72" s="160"/>
      <c r="C72" s="161"/>
      <c r="D72" s="254" t="s">
        <v>111</v>
      </c>
      <c r="E72" s="420"/>
      <c r="F72" s="421"/>
      <c r="G72" s="258"/>
      <c r="H72" s="259">
        <f>SUM(H66:H71)</f>
        <v>22330.05</v>
      </c>
      <c r="I72" s="259">
        <f t="shared" ref="I72:N72" si="48">SUM(I67:I71)</f>
        <v>0</v>
      </c>
      <c r="J72" s="259">
        <f t="shared" si="48"/>
        <v>0</v>
      </c>
      <c r="K72" s="259">
        <f t="shared" si="48"/>
        <v>0</v>
      </c>
      <c r="L72" s="259">
        <f t="shared" si="48"/>
        <v>0</v>
      </c>
      <c r="M72" s="259">
        <f t="shared" si="48"/>
        <v>0</v>
      </c>
      <c r="N72" s="259">
        <f t="shared" si="48"/>
        <v>0</v>
      </c>
      <c r="O72" s="259">
        <f>SUM(O66:O71)</f>
        <v>22330.05</v>
      </c>
      <c r="P72" s="259">
        <f t="shared" ref="P72:Z72" si="49">SUM(P67:P71)</f>
        <v>0</v>
      </c>
      <c r="Q72" s="259">
        <f t="shared" si="49"/>
        <v>0</v>
      </c>
      <c r="R72" s="259">
        <f t="shared" si="49"/>
        <v>15604.05</v>
      </c>
      <c r="S72" s="259">
        <f t="shared" si="49"/>
        <v>6352.85</v>
      </c>
      <c r="T72" s="259">
        <f t="shared" si="49"/>
        <v>9251.2000000000007</v>
      </c>
      <c r="U72" s="259">
        <f t="shared" si="49"/>
        <v>0.40960000000000002</v>
      </c>
      <c r="V72" s="259">
        <f t="shared" si="49"/>
        <v>710.44198400000005</v>
      </c>
      <c r="W72" s="259">
        <f t="shared" si="49"/>
        <v>335.55000000000007</v>
      </c>
      <c r="X72" s="259">
        <f t="shared" si="49"/>
        <v>1045.9919840000002</v>
      </c>
      <c r="Y72" s="259">
        <f t="shared" si="49"/>
        <v>481.04999999999995</v>
      </c>
      <c r="Z72" s="259">
        <f t="shared" si="49"/>
        <v>564.92000000000007</v>
      </c>
      <c r="AA72" s="259"/>
      <c r="AB72" s="259">
        <f>SUM(AB66:AB71)</f>
        <v>39.630000000000003</v>
      </c>
      <c r="AC72" s="259">
        <f>SUM(AC66:AC71)</f>
        <v>1330.18</v>
      </c>
      <c r="AD72" s="259">
        <f>SUM(AD67:AD71)</f>
        <v>0</v>
      </c>
      <c r="AE72" s="259">
        <f>SUM(AE67:AE71)</f>
        <v>0</v>
      </c>
      <c r="AF72" s="259">
        <f>SUM(AF67:AF71)</f>
        <v>0</v>
      </c>
      <c r="AG72" s="259">
        <f>SUM(AG67:AG71)</f>
        <v>0</v>
      </c>
      <c r="AH72" s="259">
        <f>SUM(AH66:AH71)</f>
        <v>1330.18</v>
      </c>
      <c r="AI72" s="259">
        <f>SUM(AI66:AI71)</f>
        <v>21039.5</v>
      </c>
      <c r="AJ72" s="160"/>
      <c r="AK72" s="255"/>
      <c r="AL72" s="261">
        <f>O72+AB72-AH72</f>
        <v>21039.5</v>
      </c>
    </row>
    <row r="73" spans="2:38" s="103" customFormat="1" ht="23.25" customHeight="1" x14ac:dyDescent="0.25">
      <c r="B73" s="426" t="s">
        <v>175</v>
      </c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426"/>
      <c r="AE73" s="426"/>
      <c r="AF73" s="426"/>
      <c r="AG73" s="426"/>
      <c r="AH73" s="426"/>
      <c r="AI73" s="426"/>
      <c r="AJ73" s="426"/>
      <c r="AK73" s="255"/>
      <c r="AL73" s="255"/>
    </row>
    <row r="74" spans="2:38" s="103" customFormat="1" ht="23.25" customHeight="1" x14ac:dyDescent="0.25">
      <c r="B74" s="160">
        <v>38</v>
      </c>
      <c r="C74" s="161" t="s">
        <v>363</v>
      </c>
      <c r="D74" s="161" t="s">
        <v>113</v>
      </c>
      <c r="E74" s="161"/>
      <c r="F74" s="161">
        <v>15</v>
      </c>
      <c r="G74" s="257">
        <v>303</v>
      </c>
      <c r="H74" s="241">
        <f>F74*G74</f>
        <v>4545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1">
        <f>SUM(H74:N74)</f>
        <v>4545</v>
      </c>
      <c r="P74" s="242"/>
      <c r="Q74" s="241">
        <f>IF(G74=47.16,0,IF(G74&gt;47.16,L74*0.5,0))</f>
        <v>0</v>
      </c>
      <c r="R74" s="241">
        <f>H74+I74+J74+M74+Q74+K74</f>
        <v>4545</v>
      </c>
      <c r="S74" s="241">
        <f>VLOOKUP(R74,TARIFA1,1)</f>
        <v>2699.41</v>
      </c>
      <c r="T74" s="241">
        <f>R74-S74</f>
        <v>1845.5900000000001</v>
      </c>
      <c r="U74" s="243">
        <f>VLOOKUP(R74,TARIFA1,3)</f>
        <v>0.10879999999999999</v>
      </c>
      <c r="V74" s="241">
        <f>T74*U74</f>
        <v>200.80019200000001</v>
      </c>
      <c r="W74" s="241">
        <f>VLOOKUP(R74,TARIFA1,2)</f>
        <v>158.55000000000001</v>
      </c>
      <c r="X74" s="241">
        <f>V74+W74</f>
        <v>359.35019199999999</v>
      </c>
      <c r="Y74" s="241">
        <f>VLOOKUP(R74,Credito1,2)</f>
        <v>0</v>
      </c>
      <c r="Z74" s="241">
        <f>ROUND(X74-Y74,2)</f>
        <v>359.35</v>
      </c>
      <c r="AA74" s="244"/>
      <c r="AB74" s="241">
        <f>-IF(Z74&gt;0,0,Z74)</f>
        <v>0</v>
      </c>
      <c r="AC74" s="241">
        <f>IF(Z74&lt;0,0,Z74)</f>
        <v>359.35</v>
      </c>
      <c r="AD74" s="241">
        <v>0</v>
      </c>
      <c r="AE74" s="240">
        <v>0</v>
      </c>
      <c r="AF74" s="240">
        <v>0</v>
      </c>
      <c r="AG74" s="245">
        <v>0</v>
      </c>
      <c r="AH74" s="241">
        <f>SUM(AC74:AG74)</f>
        <v>359.35</v>
      </c>
      <c r="AI74" s="241">
        <f>O74+AB74-AH74</f>
        <v>4185.6499999999996</v>
      </c>
      <c r="AJ74" s="241"/>
      <c r="AK74" s="255"/>
      <c r="AL74" s="255"/>
    </row>
    <row r="75" spans="2:38" s="103" customFormat="1" ht="19.5" customHeight="1" x14ac:dyDescent="0.25">
      <c r="B75" s="160"/>
      <c r="C75" s="161"/>
      <c r="D75" s="254" t="s">
        <v>111</v>
      </c>
      <c r="E75" s="420"/>
      <c r="F75" s="421"/>
      <c r="G75" s="258"/>
      <c r="H75" s="259">
        <f t="shared" ref="H75:AI75" si="50">+H74</f>
        <v>4545</v>
      </c>
      <c r="I75" s="259">
        <f t="shared" si="50"/>
        <v>0</v>
      </c>
      <c r="J75" s="259">
        <f t="shared" si="50"/>
        <v>0</v>
      </c>
      <c r="K75" s="259">
        <f t="shared" si="50"/>
        <v>0</v>
      </c>
      <c r="L75" s="259">
        <f t="shared" si="50"/>
        <v>0</v>
      </c>
      <c r="M75" s="259">
        <f t="shared" si="50"/>
        <v>0</v>
      </c>
      <c r="N75" s="259">
        <f t="shared" si="50"/>
        <v>0</v>
      </c>
      <c r="O75" s="259">
        <f t="shared" si="50"/>
        <v>4545</v>
      </c>
      <c r="P75" s="259">
        <f t="shared" si="50"/>
        <v>0</v>
      </c>
      <c r="Q75" s="259">
        <f t="shared" si="50"/>
        <v>0</v>
      </c>
      <c r="R75" s="259">
        <f t="shared" si="50"/>
        <v>4545</v>
      </c>
      <c r="S75" s="259">
        <f t="shared" si="50"/>
        <v>2699.41</v>
      </c>
      <c r="T75" s="259">
        <f t="shared" si="50"/>
        <v>1845.5900000000001</v>
      </c>
      <c r="U75" s="259">
        <f t="shared" si="50"/>
        <v>0.10879999999999999</v>
      </c>
      <c r="V75" s="259">
        <f t="shared" si="50"/>
        <v>200.80019200000001</v>
      </c>
      <c r="W75" s="259">
        <f t="shared" si="50"/>
        <v>158.55000000000001</v>
      </c>
      <c r="X75" s="259">
        <f t="shared" si="50"/>
        <v>359.35019199999999</v>
      </c>
      <c r="Y75" s="259">
        <f t="shared" si="50"/>
        <v>0</v>
      </c>
      <c r="Z75" s="259">
        <f t="shared" si="50"/>
        <v>359.35</v>
      </c>
      <c r="AA75" s="259"/>
      <c r="AB75" s="259">
        <f t="shared" si="50"/>
        <v>0</v>
      </c>
      <c r="AC75" s="259">
        <f t="shared" si="50"/>
        <v>359.35</v>
      </c>
      <c r="AD75" s="259">
        <f t="shared" si="50"/>
        <v>0</v>
      </c>
      <c r="AE75" s="259">
        <f t="shared" si="50"/>
        <v>0</v>
      </c>
      <c r="AF75" s="259">
        <f t="shared" si="50"/>
        <v>0</v>
      </c>
      <c r="AG75" s="259">
        <f t="shared" si="50"/>
        <v>0</v>
      </c>
      <c r="AH75" s="259">
        <f t="shared" si="50"/>
        <v>359.35</v>
      </c>
      <c r="AI75" s="259">
        <f t="shared" si="50"/>
        <v>4185.6499999999996</v>
      </c>
      <c r="AJ75" s="160"/>
      <c r="AK75" s="255"/>
      <c r="AL75" s="261">
        <f>O75+AB75-AH75</f>
        <v>4185.6499999999996</v>
      </c>
    </row>
    <row r="76" spans="2:38" ht="27" customHeight="1" x14ac:dyDescent="0.25">
      <c r="B76" s="426" t="s">
        <v>129</v>
      </c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6"/>
      <c r="AB76" s="426"/>
      <c r="AC76" s="426"/>
      <c r="AD76" s="426"/>
      <c r="AE76" s="426"/>
      <c r="AF76" s="426"/>
      <c r="AG76" s="426"/>
      <c r="AH76" s="426"/>
      <c r="AI76" s="426"/>
      <c r="AJ76" s="426"/>
      <c r="AK76" s="255"/>
      <c r="AL76" s="255"/>
    </row>
    <row r="77" spans="2:38" ht="23.25" customHeight="1" x14ac:dyDescent="0.25">
      <c r="B77" s="160">
        <v>39</v>
      </c>
      <c r="C77" s="161" t="s">
        <v>396</v>
      </c>
      <c r="D77" s="161" t="s">
        <v>130</v>
      </c>
      <c r="E77" s="211"/>
      <c r="F77" s="161">
        <v>15</v>
      </c>
      <c r="G77" s="257">
        <v>220.8</v>
      </c>
      <c r="H77" s="241">
        <f>F77*G77</f>
        <v>3312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1">
        <f>SUM(H77:N77)</f>
        <v>3312</v>
      </c>
      <c r="P77" s="242"/>
      <c r="Q77" s="241">
        <f>IF(G77=47.16,0,IF(G77&gt;47.16,L77*0.5,0))</f>
        <v>0</v>
      </c>
      <c r="R77" s="241">
        <f>H77+I77+J77+M77+Q77+K77</f>
        <v>3312</v>
      </c>
      <c r="S77" s="241">
        <f>VLOOKUP(R77,TARIFA1,1)</f>
        <v>2699.41</v>
      </c>
      <c r="T77" s="241">
        <f>R77-S77</f>
        <v>612.59000000000015</v>
      </c>
      <c r="U77" s="243">
        <f>VLOOKUP(R77,TARIFA1,3)</f>
        <v>0.10879999999999999</v>
      </c>
      <c r="V77" s="241">
        <f>T77*U77</f>
        <v>66.649792000000005</v>
      </c>
      <c r="W77" s="241">
        <f>VLOOKUP(R77,TARIFA1,2)</f>
        <v>158.55000000000001</v>
      </c>
      <c r="X77" s="241">
        <f>V77+W77</f>
        <v>225.199792</v>
      </c>
      <c r="Y77" s="241">
        <f>VLOOKUP(R77,Credito1,2)</f>
        <v>125.1</v>
      </c>
      <c r="Z77" s="241">
        <f>ROUND(X77-Y77,2)</f>
        <v>100.1</v>
      </c>
      <c r="AA77" s="244"/>
      <c r="AB77" s="241">
        <f>-IF(Z77&gt;0,0,Z77)</f>
        <v>0</v>
      </c>
      <c r="AC77" s="241">
        <f>IF(Z77&lt;0,0,Z77)</f>
        <v>100.1</v>
      </c>
      <c r="AD77" s="241">
        <v>0</v>
      </c>
      <c r="AE77" s="240">
        <v>0</v>
      </c>
      <c r="AF77" s="240">
        <v>0</v>
      </c>
      <c r="AG77" s="245">
        <v>0</v>
      </c>
      <c r="AH77" s="241">
        <f>SUM(AC77:AG77)</f>
        <v>100.1</v>
      </c>
      <c r="AI77" s="241">
        <f>O77+AB77-AH77</f>
        <v>3211.9</v>
      </c>
      <c r="AJ77" s="241"/>
      <c r="AK77" s="255"/>
      <c r="AL77" s="255"/>
    </row>
    <row r="78" spans="2:38" ht="23.25" customHeight="1" x14ac:dyDescent="0.25">
      <c r="B78" s="160">
        <v>40</v>
      </c>
      <c r="C78" s="161" t="s">
        <v>343</v>
      </c>
      <c r="D78" s="161" t="s">
        <v>239</v>
      </c>
      <c r="E78" s="211"/>
      <c r="F78" s="161">
        <v>15</v>
      </c>
      <c r="G78" s="257">
        <v>138.33000000000001</v>
      </c>
      <c r="H78" s="241">
        <f>F78*G78</f>
        <v>2074.9500000000003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1">
        <f>SUM(H78:N78)</f>
        <v>2074.9500000000003</v>
      </c>
      <c r="P78" s="242"/>
      <c r="Q78" s="241">
        <f>IF(G78=47.16,0,IF(G78&gt;47.16,L78*0.5,0))</f>
        <v>0</v>
      </c>
      <c r="R78" s="241">
        <f>H78+I78+J78+M78+Q78+K78</f>
        <v>2074.9500000000003</v>
      </c>
      <c r="S78" s="241">
        <f>VLOOKUP(R78,TARIFA1,1)</f>
        <v>318.01</v>
      </c>
      <c r="T78" s="241">
        <f>R78-S78</f>
        <v>1756.9400000000003</v>
      </c>
      <c r="U78" s="243">
        <f>VLOOKUP(R78,TARIFA1,3)</f>
        <v>6.4000000000000001E-2</v>
      </c>
      <c r="V78" s="241">
        <f>T78*U78</f>
        <v>112.44416000000002</v>
      </c>
      <c r="W78" s="241">
        <f>VLOOKUP(R78,TARIFA1,2)</f>
        <v>6.15</v>
      </c>
      <c r="X78" s="241">
        <f>V78+W78</f>
        <v>118.59416000000003</v>
      </c>
      <c r="Y78" s="241">
        <f>VLOOKUP(R78,Credito1,2)</f>
        <v>188.7</v>
      </c>
      <c r="Z78" s="241">
        <f>ROUND(X78-Y78,2)</f>
        <v>-70.11</v>
      </c>
      <c r="AA78" s="244"/>
      <c r="AB78" s="241">
        <f>-IF(Z78&gt;0,0,Z78)</f>
        <v>70.11</v>
      </c>
      <c r="AC78" s="241">
        <f>IF(Z78&lt;0,0,Z78)</f>
        <v>0</v>
      </c>
      <c r="AD78" s="241">
        <v>0</v>
      </c>
      <c r="AE78" s="240">
        <v>0</v>
      </c>
      <c r="AF78" s="240">
        <v>0</v>
      </c>
      <c r="AG78" s="245">
        <v>0</v>
      </c>
      <c r="AH78" s="241">
        <f>SUM(AC78:AG78)</f>
        <v>0</v>
      </c>
      <c r="AI78" s="241">
        <f>O78+AB78-AH78</f>
        <v>2145.0600000000004</v>
      </c>
      <c r="AJ78" s="241"/>
      <c r="AK78" s="255"/>
      <c r="AL78" s="255"/>
    </row>
    <row r="79" spans="2:38" ht="20.25" customHeight="1" x14ac:dyDescent="0.25">
      <c r="B79" s="160"/>
      <c r="C79" s="161"/>
      <c r="D79" s="254" t="s">
        <v>111</v>
      </c>
      <c r="E79" s="420"/>
      <c r="F79" s="421"/>
      <c r="G79" s="258"/>
      <c r="H79" s="259">
        <f t="shared" ref="H79:AG79" si="51">SUM(H77:H78)</f>
        <v>5386.9500000000007</v>
      </c>
      <c r="I79" s="259">
        <f t="shared" si="51"/>
        <v>0</v>
      </c>
      <c r="J79" s="259">
        <f t="shared" si="51"/>
        <v>0</v>
      </c>
      <c r="K79" s="259">
        <f t="shared" si="51"/>
        <v>0</v>
      </c>
      <c r="L79" s="259">
        <f t="shared" si="51"/>
        <v>0</v>
      </c>
      <c r="M79" s="259">
        <f t="shared" si="51"/>
        <v>0</v>
      </c>
      <c r="N79" s="259">
        <f t="shared" si="51"/>
        <v>0</v>
      </c>
      <c r="O79" s="259">
        <f t="shared" si="51"/>
        <v>5386.9500000000007</v>
      </c>
      <c r="P79" s="259">
        <f t="shared" si="51"/>
        <v>0</v>
      </c>
      <c r="Q79" s="259">
        <f t="shared" si="51"/>
        <v>0</v>
      </c>
      <c r="R79" s="259">
        <f t="shared" si="51"/>
        <v>5386.9500000000007</v>
      </c>
      <c r="S79" s="259">
        <f t="shared" si="51"/>
        <v>3017.42</v>
      </c>
      <c r="T79" s="259">
        <f t="shared" si="51"/>
        <v>2369.5300000000007</v>
      </c>
      <c r="U79" s="259">
        <f t="shared" si="51"/>
        <v>0.17280000000000001</v>
      </c>
      <c r="V79" s="259">
        <f t="shared" si="51"/>
        <v>179.09395200000003</v>
      </c>
      <c r="W79" s="259">
        <f t="shared" si="51"/>
        <v>164.70000000000002</v>
      </c>
      <c r="X79" s="259">
        <f t="shared" si="51"/>
        <v>343.79395200000005</v>
      </c>
      <c r="Y79" s="259">
        <f t="shared" si="51"/>
        <v>313.79999999999995</v>
      </c>
      <c r="Z79" s="259">
        <f t="shared" si="51"/>
        <v>29.989999999999995</v>
      </c>
      <c r="AA79" s="259"/>
      <c r="AB79" s="259">
        <f t="shared" si="51"/>
        <v>70.11</v>
      </c>
      <c r="AC79" s="259">
        <f t="shared" si="51"/>
        <v>100.1</v>
      </c>
      <c r="AD79" s="259">
        <f t="shared" si="51"/>
        <v>0</v>
      </c>
      <c r="AE79" s="259">
        <f t="shared" si="51"/>
        <v>0</v>
      </c>
      <c r="AF79" s="259">
        <f t="shared" si="51"/>
        <v>0</v>
      </c>
      <c r="AG79" s="259">
        <f t="shared" si="51"/>
        <v>0</v>
      </c>
      <c r="AH79" s="259">
        <f>SUM(AH77:AH78)</f>
        <v>100.1</v>
      </c>
      <c r="AI79" s="259">
        <f>SUM(AI77:AI78)</f>
        <v>5356.9600000000009</v>
      </c>
      <c r="AJ79" s="160"/>
      <c r="AK79" s="255"/>
      <c r="AL79" s="261">
        <f>O79+AB79-AH79</f>
        <v>5356.96</v>
      </c>
    </row>
    <row r="80" spans="2:38" ht="21.75" customHeight="1" x14ac:dyDescent="0.25">
      <c r="B80" s="422" t="s">
        <v>131</v>
      </c>
      <c r="C80" s="423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3"/>
      <c r="X80" s="423"/>
      <c r="Y80" s="423"/>
      <c r="Z80" s="423"/>
      <c r="AA80" s="423"/>
      <c r="AB80" s="423"/>
      <c r="AC80" s="423"/>
      <c r="AD80" s="423"/>
      <c r="AE80" s="423"/>
      <c r="AF80" s="423"/>
      <c r="AG80" s="423"/>
      <c r="AH80" s="423"/>
      <c r="AI80" s="423"/>
      <c r="AJ80" s="424"/>
      <c r="AK80" s="255"/>
      <c r="AL80" s="255"/>
    </row>
    <row r="81" spans="2:38" ht="24.75" customHeight="1" x14ac:dyDescent="0.25">
      <c r="B81" s="160">
        <v>41</v>
      </c>
      <c r="C81" s="161" t="s">
        <v>517</v>
      </c>
      <c r="D81" s="161" t="s">
        <v>130</v>
      </c>
      <c r="E81" s="211"/>
      <c r="F81" s="161">
        <v>15</v>
      </c>
      <c r="G81" s="257">
        <v>313.33</v>
      </c>
      <c r="H81" s="241">
        <f>F81*G81</f>
        <v>4699.95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1">
        <f>SUM(H81:N81)</f>
        <v>4699.95</v>
      </c>
      <c r="P81" s="242"/>
      <c r="Q81" s="241">
        <f>IF(G81=47.16,0,IF(G81&gt;47.16,L81*0.5,0))</f>
        <v>0</v>
      </c>
      <c r="R81" s="241">
        <f>H81+I81+J81+M81+Q81+K81</f>
        <v>4699.95</v>
      </c>
      <c r="S81" s="241">
        <f>VLOOKUP(R81,TARIFA1,1)</f>
        <v>2699.41</v>
      </c>
      <c r="T81" s="241">
        <f>R81-S81</f>
        <v>2000.54</v>
      </c>
      <c r="U81" s="243">
        <f>VLOOKUP(R81,TARIFA1,3)</f>
        <v>0.10879999999999999</v>
      </c>
      <c r="V81" s="241">
        <f>T81*U81</f>
        <v>217.65875199999999</v>
      </c>
      <c r="W81" s="241">
        <f>VLOOKUP(R81,TARIFA1,2)</f>
        <v>158.55000000000001</v>
      </c>
      <c r="X81" s="241">
        <f>V81+W81</f>
        <v>376.208752</v>
      </c>
      <c r="Y81" s="241">
        <f>VLOOKUP(R81,Credito1,2)</f>
        <v>0</v>
      </c>
      <c r="Z81" s="241">
        <f>ROUND(X81-Y81,2)</f>
        <v>376.21</v>
      </c>
      <c r="AA81" s="244"/>
      <c r="AB81" s="241">
        <f>-IF(Z81&gt;0,0,Z81)</f>
        <v>0</v>
      </c>
      <c r="AC81" s="241">
        <f>IF(Z81&lt;0,0,Z81)</f>
        <v>376.21</v>
      </c>
      <c r="AD81" s="241">
        <v>0</v>
      </c>
      <c r="AE81" s="240">
        <v>0</v>
      </c>
      <c r="AF81" s="240">
        <v>0</v>
      </c>
      <c r="AG81" s="245">
        <v>0</v>
      </c>
      <c r="AH81" s="241">
        <f>SUM(AC81:AG81)</f>
        <v>376.21</v>
      </c>
      <c r="AI81" s="241">
        <f>O81+AB81-AH81</f>
        <v>4323.74</v>
      </c>
      <c r="AJ81" s="241"/>
      <c r="AK81" s="255"/>
      <c r="AL81" s="255"/>
    </row>
    <row r="82" spans="2:38" ht="24.75" customHeight="1" x14ac:dyDescent="0.25">
      <c r="B82" s="160">
        <v>42</v>
      </c>
      <c r="C82" s="161" t="s">
        <v>350</v>
      </c>
      <c r="D82" s="161" t="s">
        <v>223</v>
      </c>
      <c r="E82" s="211"/>
      <c r="F82" s="161">
        <v>15</v>
      </c>
      <c r="G82" s="257">
        <v>166.67</v>
      </c>
      <c r="H82" s="241">
        <f t="shared" ref="H82:H83" si="52">F82*G82</f>
        <v>2500.0499999999997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1">
        <f t="shared" ref="O82:O83" si="53">SUM(H82:N82)</f>
        <v>2500.0499999999997</v>
      </c>
      <c r="P82" s="242"/>
      <c r="Q82" s="241">
        <f>IF(G82=47.16,0,IF(G82&gt;47.16,L82*0.5,0))</f>
        <v>0</v>
      </c>
      <c r="R82" s="241">
        <f>H82+I82+J82+M82+Q82+K82</f>
        <v>2500.0499999999997</v>
      </c>
      <c r="S82" s="241">
        <f>VLOOKUP(R82,TARIFA1,1)</f>
        <v>318.01</v>
      </c>
      <c r="T82" s="241">
        <f>R82-S82</f>
        <v>2182.04</v>
      </c>
      <c r="U82" s="243">
        <f>VLOOKUP(R82,TARIFA1,3)</f>
        <v>6.4000000000000001E-2</v>
      </c>
      <c r="V82" s="241">
        <f>T82*U82</f>
        <v>139.65056000000001</v>
      </c>
      <c r="W82" s="241">
        <f>VLOOKUP(R82,TARIFA1,2)</f>
        <v>6.15</v>
      </c>
      <c r="X82" s="241">
        <f>V82+W82</f>
        <v>145.80056000000002</v>
      </c>
      <c r="Y82" s="241">
        <f>VLOOKUP(R82,Credito1,2)</f>
        <v>160.35</v>
      </c>
      <c r="Z82" s="241">
        <f>ROUND(X82-Y82,2)</f>
        <v>-14.55</v>
      </c>
      <c r="AA82" s="244"/>
      <c r="AB82" s="241">
        <f>-IF(Z82&gt;0,0,Z82)</f>
        <v>14.55</v>
      </c>
      <c r="AC82" s="241">
        <f>IF(Z82&lt;0,0,Z82)</f>
        <v>0</v>
      </c>
      <c r="AD82" s="241">
        <v>0</v>
      </c>
      <c r="AE82" s="240">
        <v>0</v>
      </c>
      <c r="AF82" s="240">
        <v>0</v>
      </c>
      <c r="AG82" s="245">
        <v>0</v>
      </c>
      <c r="AH82" s="241">
        <f>SUM(AC82:AG82)</f>
        <v>0</v>
      </c>
      <c r="AI82" s="241">
        <f>O82+AB82-AH82</f>
        <v>2514.6</v>
      </c>
      <c r="AJ82" s="241"/>
      <c r="AK82" s="255"/>
      <c r="AL82" s="255"/>
    </row>
    <row r="83" spans="2:38" ht="24.75" customHeight="1" x14ac:dyDescent="0.25">
      <c r="B83" s="160">
        <v>43</v>
      </c>
      <c r="C83" s="161" t="s">
        <v>411</v>
      </c>
      <c r="D83" s="161" t="s">
        <v>239</v>
      </c>
      <c r="E83" s="161"/>
      <c r="F83" s="161">
        <v>15</v>
      </c>
      <c r="G83" s="257">
        <v>138.33000000000001</v>
      </c>
      <c r="H83" s="241">
        <f t="shared" si="52"/>
        <v>2074.9500000000003</v>
      </c>
      <c r="I83" s="240">
        <v>0</v>
      </c>
      <c r="J83" s="240">
        <v>0</v>
      </c>
      <c r="K83" s="240">
        <v>0</v>
      </c>
      <c r="L83" s="240">
        <v>0</v>
      </c>
      <c r="M83" s="240">
        <v>0</v>
      </c>
      <c r="N83" s="240">
        <v>0</v>
      </c>
      <c r="O83" s="241">
        <f t="shared" si="53"/>
        <v>2074.9500000000003</v>
      </c>
      <c r="P83" s="242"/>
      <c r="Q83" s="241">
        <v>0</v>
      </c>
      <c r="R83" s="241">
        <f>H83+I83+J83+M83+Q83+K83</f>
        <v>2074.9500000000003</v>
      </c>
      <c r="S83" s="241">
        <f>VLOOKUP(R83,TARIFA1,1)</f>
        <v>318.01</v>
      </c>
      <c r="T83" s="241">
        <f>R83-S83</f>
        <v>1756.9400000000003</v>
      </c>
      <c r="U83" s="243">
        <f>VLOOKUP(R83,TARIFA1,3)</f>
        <v>6.4000000000000001E-2</v>
      </c>
      <c r="V83" s="241">
        <f>T83*U83</f>
        <v>112.44416000000002</v>
      </c>
      <c r="W83" s="241">
        <f>VLOOKUP(R83,TARIFA1,2)</f>
        <v>6.15</v>
      </c>
      <c r="X83" s="241">
        <f>V83+W83</f>
        <v>118.59416000000003</v>
      </c>
      <c r="Y83" s="241">
        <f>VLOOKUP(R83,Credito1,2)</f>
        <v>188.7</v>
      </c>
      <c r="Z83" s="241">
        <f>ROUND(X83-Y83,2)</f>
        <v>-70.11</v>
      </c>
      <c r="AA83" s="244"/>
      <c r="AB83" s="241">
        <f>-IF(Z83&gt;0,0,Z83)</f>
        <v>70.11</v>
      </c>
      <c r="AC83" s="241">
        <f>IF(Z83&lt;0,0,Z83)</f>
        <v>0</v>
      </c>
      <c r="AD83" s="241">
        <v>0</v>
      </c>
      <c r="AE83" s="240">
        <v>0</v>
      </c>
      <c r="AF83" s="240">
        <v>0</v>
      </c>
      <c r="AG83" s="245">
        <v>0</v>
      </c>
      <c r="AH83" s="241">
        <f>SUM(AC83:AG83)</f>
        <v>0</v>
      </c>
      <c r="AI83" s="241">
        <f>O83+AB83-AH83</f>
        <v>2145.0600000000004</v>
      </c>
      <c r="AJ83" s="241"/>
      <c r="AK83" s="255"/>
      <c r="AL83" s="255"/>
    </row>
    <row r="84" spans="2:38" ht="24.75" customHeight="1" x14ac:dyDescent="0.25">
      <c r="B84" s="160"/>
      <c r="C84" s="161"/>
      <c r="D84" s="254" t="s">
        <v>111</v>
      </c>
      <c r="E84" s="420"/>
      <c r="F84" s="421"/>
      <c r="G84" s="258"/>
      <c r="H84" s="259">
        <f t="shared" ref="H84:O84" si="54">SUM(H81:H83)</f>
        <v>9274.9500000000007</v>
      </c>
      <c r="I84" s="259">
        <f t="shared" si="54"/>
        <v>0</v>
      </c>
      <c r="J84" s="259">
        <f t="shared" si="54"/>
        <v>0</v>
      </c>
      <c r="K84" s="259">
        <f t="shared" si="54"/>
        <v>0</v>
      </c>
      <c r="L84" s="259">
        <f t="shared" si="54"/>
        <v>0</v>
      </c>
      <c r="M84" s="259">
        <f t="shared" si="54"/>
        <v>0</v>
      </c>
      <c r="N84" s="259">
        <f t="shared" si="54"/>
        <v>0</v>
      </c>
      <c r="O84" s="259">
        <f t="shared" si="54"/>
        <v>9274.9500000000007</v>
      </c>
      <c r="P84" s="259">
        <f t="shared" ref="P84:Z84" si="55">SUM(P81:P82)</f>
        <v>0</v>
      </c>
      <c r="Q84" s="259">
        <f t="shared" si="55"/>
        <v>0</v>
      </c>
      <c r="R84" s="259">
        <f t="shared" si="55"/>
        <v>7200</v>
      </c>
      <c r="S84" s="259">
        <f t="shared" si="55"/>
        <v>3017.42</v>
      </c>
      <c r="T84" s="259">
        <f t="shared" si="55"/>
        <v>4182.58</v>
      </c>
      <c r="U84" s="259">
        <f t="shared" si="55"/>
        <v>0.17280000000000001</v>
      </c>
      <c r="V84" s="259">
        <f t="shared" si="55"/>
        <v>357.30931199999998</v>
      </c>
      <c r="W84" s="259">
        <f t="shared" si="55"/>
        <v>164.70000000000002</v>
      </c>
      <c r="X84" s="259">
        <f t="shared" si="55"/>
        <v>522.00931200000002</v>
      </c>
      <c r="Y84" s="259">
        <f t="shared" si="55"/>
        <v>160.35</v>
      </c>
      <c r="Z84" s="259">
        <f t="shared" si="55"/>
        <v>361.65999999999997</v>
      </c>
      <c r="AA84" s="259"/>
      <c r="AB84" s="259">
        <f t="shared" ref="AB84:AI84" si="56">SUM(AB81:AB83)</f>
        <v>84.66</v>
      </c>
      <c r="AC84" s="259">
        <f t="shared" si="56"/>
        <v>376.21</v>
      </c>
      <c r="AD84" s="259">
        <f t="shared" si="56"/>
        <v>0</v>
      </c>
      <c r="AE84" s="259">
        <f t="shared" si="56"/>
        <v>0</v>
      </c>
      <c r="AF84" s="259">
        <f t="shared" si="56"/>
        <v>0</v>
      </c>
      <c r="AG84" s="259">
        <f t="shared" si="56"/>
        <v>0</v>
      </c>
      <c r="AH84" s="259">
        <f t="shared" si="56"/>
        <v>376.21</v>
      </c>
      <c r="AI84" s="259">
        <f t="shared" si="56"/>
        <v>8983.4000000000015</v>
      </c>
      <c r="AJ84" s="160"/>
      <c r="AK84" s="255"/>
      <c r="AL84" s="261">
        <f>O84+AB84-AH81</f>
        <v>8983.4000000000015</v>
      </c>
    </row>
    <row r="85" spans="2:38" ht="24.75" customHeight="1" x14ac:dyDescent="0.25">
      <c r="B85" s="422" t="s">
        <v>132</v>
      </c>
      <c r="C85" s="423"/>
      <c r="D85" s="423"/>
      <c r="E85" s="423"/>
      <c r="F85" s="423"/>
      <c r="G85" s="423"/>
      <c r="H85" s="423"/>
      <c r="I85" s="423"/>
      <c r="J85" s="423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3"/>
      <c r="AC85" s="423"/>
      <c r="AD85" s="423"/>
      <c r="AE85" s="423"/>
      <c r="AF85" s="423"/>
      <c r="AG85" s="423"/>
      <c r="AH85" s="423"/>
      <c r="AI85" s="423"/>
      <c r="AJ85" s="424"/>
      <c r="AK85" s="255"/>
      <c r="AL85" s="255"/>
    </row>
    <row r="86" spans="2:38" ht="21.75" customHeight="1" x14ac:dyDescent="0.25">
      <c r="B86" s="160">
        <v>44</v>
      </c>
      <c r="C86" s="161" t="s">
        <v>362</v>
      </c>
      <c r="D86" s="161" t="s">
        <v>130</v>
      </c>
      <c r="E86" s="211"/>
      <c r="F86" s="161">
        <v>15</v>
      </c>
      <c r="G86" s="257">
        <v>313.33</v>
      </c>
      <c r="H86" s="241">
        <f>F86*G86</f>
        <v>4699.95</v>
      </c>
      <c r="I86" s="240">
        <v>0</v>
      </c>
      <c r="J86" s="240">
        <v>0</v>
      </c>
      <c r="K86" s="240">
        <v>0</v>
      </c>
      <c r="L86" s="240">
        <v>0</v>
      </c>
      <c r="M86" s="240">
        <v>0</v>
      </c>
      <c r="N86" s="240">
        <v>0</v>
      </c>
      <c r="O86" s="241">
        <f>SUM(H86:N86)</f>
        <v>4699.95</v>
      </c>
      <c r="P86" s="242"/>
      <c r="Q86" s="241">
        <f>IF(G86=47.16,0,IF(G86&gt;47.16,L86*0.5,0))</f>
        <v>0</v>
      </c>
      <c r="R86" s="241">
        <f>H86+I86+J86+M86+Q86+K86</f>
        <v>4699.95</v>
      </c>
      <c r="S86" s="241">
        <f>VLOOKUP(R86,TARIFA1,1)</f>
        <v>2699.41</v>
      </c>
      <c r="T86" s="241">
        <f>R86-S86</f>
        <v>2000.54</v>
      </c>
      <c r="U86" s="243">
        <f>VLOOKUP(R86,TARIFA1,3)</f>
        <v>0.10879999999999999</v>
      </c>
      <c r="V86" s="241">
        <f>T86*U86</f>
        <v>217.65875199999999</v>
      </c>
      <c r="W86" s="241">
        <f>VLOOKUP(R86,TARIFA1,2)</f>
        <v>158.55000000000001</v>
      </c>
      <c r="X86" s="241">
        <f>V86+W86</f>
        <v>376.208752</v>
      </c>
      <c r="Y86" s="241">
        <f>VLOOKUP(R86,Credito1,2)</f>
        <v>0</v>
      </c>
      <c r="Z86" s="241">
        <f>ROUND(X86-Y86,2)</f>
        <v>376.21</v>
      </c>
      <c r="AA86" s="244"/>
      <c r="AB86" s="241">
        <f>-IF(Z86&gt;0,0,Z86)</f>
        <v>0</v>
      </c>
      <c r="AC86" s="241">
        <f>IF(Z86&lt;0,0,Z86)</f>
        <v>376.21</v>
      </c>
      <c r="AD86" s="241">
        <v>0</v>
      </c>
      <c r="AE86" s="240">
        <v>0</v>
      </c>
      <c r="AF86" s="240">
        <v>0</v>
      </c>
      <c r="AG86" s="245">
        <v>0</v>
      </c>
      <c r="AH86" s="241">
        <f>SUM(AC86:AG86)</f>
        <v>376.21</v>
      </c>
      <c r="AI86" s="241">
        <f>O86+AB86-AH86</f>
        <v>4323.74</v>
      </c>
      <c r="AJ86" s="241"/>
      <c r="AK86" s="255"/>
      <c r="AL86" s="255"/>
    </row>
    <row r="87" spans="2:38" ht="30.75" customHeight="1" x14ac:dyDescent="0.25">
      <c r="B87" s="160">
        <v>45</v>
      </c>
      <c r="C87" s="161" t="s">
        <v>460</v>
      </c>
      <c r="D87" s="161" t="s">
        <v>119</v>
      </c>
      <c r="E87" s="211"/>
      <c r="F87" s="161">
        <v>15</v>
      </c>
      <c r="G87" s="257">
        <v>119.67</v>
      </c>
      <c r="H87" s="241">
        <f>F87*G87</f>
        <v>1795.05</v>
      </c>
      <c r="I87" s="240">
        <v>0</v>
      </c>
      <c r="J87" s="240">
        <v>0</v>
      </c>
      <c r="K87" s="240">
        <v>0</v>
      </c>
      <c r="L87" s="240">
        <v>0</v>
      </c>
      <c r="M87" s="240">
        <v>0</v>
      </c>
      <c r="N87" s="240">
        <v>0</v>
      </c>
      <c r="O87" s="241">
        <f>SUM(H87:N87)</f>
        <v>1795.05</v>
      </c>
      <c r="P87" s="242"/>
      <c r="Q87" s="241">
        <f>IF(G87=47.16,0,IF(G87&gt;47.16,L87*0.5,0))</f>
        <v>0</v>
      </c>
      <c r="R87" s="241">
        <f>H87+I87+J87+M87+Q87+K87</f>
        <v>1795.05</v>
      </c>
      <c r="S87" s="241">
        <f>VLOOKUP(R87,TARIFA1,1)</f>
        <v>318.01</v>
      </c>
      <c r="T87" s="241">
        <f>R87-S87</f>
        <v>1477.04</v>
      </c>
      <c r="U87" s="243">
        <f>VLOOKUP(R87,TARIFA1,3)</f>
        <v>6.4000000000000001E-2</v>
      </c>
      <c r="V87" s="241">
        <f>T87*U87</f>
        <v>94.530559999999994</v>
      </c>
      <c r="W87" s="241">
        <f>VLOOKUP(R87,TARIFA1,2)</f>
        <v>6.15</v>
      </c>
      <c r="X87" s="241">
        <f>V87+W87</f>
        <v>100.68056</v>
      </c>
      <c r="Y87" s="241">
        <f>VLOOKUP(R87,Credito1,2)</f>
        <v>188.7</v>
      </c>
      <c r="Z87" s="241">
        <f>ROUND(X87-Y87,2)</f>
        <v>-88.02</v>
      </c>
      <c r="AA87" s="244"/>
      <c r="AB87" s="241">
        <f>-IF(Z87&gt;0,0,Z87)</f>
        <v>88.02</v>
      </c>
      <c r="AC87" s="241">
        <f>IF(Z87&lt;0,0,Z87)</f>
        <v>0</v>
      </c>
      <c r="AD87" s="241">
        <v>0</v>
      </c>
      <c r="AE87" s="240">
        <v>0</v>
      </c>
      <c r="AF87" s="240">
        <v>0</v>
      </c>
      <c r="AG87" s="245">
        <v>0</v>
      </c>
      <c r="AH87" s="241">
        <f>SUM(AC87:AG87)</f>
        <v>0</v>
      </c>
      <c r="AI87" s="241">
        <f>O87+AB87-AH87</f>
        <v>1883.07</v>
      </c>
      <c r="AJ87" s="241"/>
      <c r="AK87" s="255"/>
      <c r="AL87" s="255"/>
    </row>
    <row r="88" spans="2:38" ht="22.5" customHeight="1" x14ac:dyDescent="0.25">
      <c r="B88" s="160"/>
      <c r="C88" s="161"/>
      <c r="D88" s="254" t="s">
        <v>111</v>
      </c>
      <c r="E88" s="420"/>
      <c r="F88" s="421"/>
      <c r="G88" s="258"/>
      <c r="H88" s="259">
        <f t="shared" ref="H88:AH88" si="57">SUM(H86:H87)</f>
        <v>6495</v>
      </c>
      <c r="I88" s="259">
        <f t="shared" si="57"/>
        <v>0</v>
      </c>
      <c r="J88" s="259">
        <f t="shared" si="57"/>
        <v>0</v>
      </c>
      <c r="K88" s="259">
        <f t="shared" si="57"/>
        <v>0</v>
      </c>
      <c r="L88" s="259">
        <f t="shared" si="57"/>
        <v>0</v>
      </c>
      <c r="M88" s="259">
        <f t="shared" si="57"/>
        <v>0</v>
      </c>
      <c r="N88" s="259">
        <f t="shared" si="57"/>
        <v>0</v>
      </c>
      <c r="O88" s="259">
        <f t="shared" si="57"/>
        <v>6495</v>
      </c>
      <c r="P88" s="259">
        <f t="shared" si="57"/>
        <v>0</v>
      </c>
      <c r="Q88" s="259">
        <f t="shared" si="57"/>
        <v>0</v>
      </c>
      <c r="R88" s="259">
        <f t="shared" si="57"/>
        <v>6495</v>
      </c>
      <c r="S88" s="259">
        <f t="shared" si="57"/>
        <v>3017.42</v>
      </c>
      <c r="T88" s="259">
        <f t="shared" si="57"/>
        <v>3477.58</v>
      </c>
      <c r="U88" s="259">
        <f t="shared" si="57"/>
        <v>0.17280000000000001</v>
      </c>
      <c r="V88" s="259">
        <f t="shared" si="57"/>
        <v>312.18931199999997</v>
      </c>
      <c r="W88" s="259">
        <f t="shared" si="57"/>
        <v>164.70000000000002</v>
      </c>
      <c r="X88" s="259">
        <f t="shared" si="57"/>
        <v>476.88931200000002</v>
      </c>
      <c r="Y88" s="259">
        <f t="shared" si="57"/>
        <v>188.7</v>
      </c>
      <c r="Z88" s="259">
        <f t="shared" si="57"/>
        <v>288.19</v>
      </c>
      <c r="AA88" s="259"/>
      <c r="AB88" s="259">
        <f t="shared" si="57"/>
        <v>88.02</v>
      </c>
      <c r="AC88" s="259">
        <f t="shared" si="57"/>
        <v>376.21</v>
      </c>
      <c r="AD88" s="259">
        <f t="shared" si="57"/>
        <v>0</v>
      </c>
      <c r="AE88" s="259">
        <f t="shared" si="57"/>
        <v>0</v>
      </c>
      <c r="AF88" s="259">
        <f t="shared" si="57"/>
        <v>0</v>
      </c>
      <c r="AG88" s="259">
        <f t="shared" si="57"/>
        <v>0</v>
      </c>
      <c r="AH88" s="259">
        <f t="shared" si="57"/>
        <v>376.21</v>
      </c>
      <c r="AI88" s="259">
        <f>SUM(AI86:AI87)</f>
        <v>6206.8099999999995</v>
      </c>
      <c r="AJ88" s="160"/>
      <c r="AK88" s="255"/>
      <c r="AL88" s="261">
        <f>O88+AB88-AH88</f>
        <v>6206.81</v>
      </c>
    </row>
    <row r="89" spans="2:38" s="148" customFormat="1" ht="22.5" customHeight="1" x14ac:dyDescent="0.25">
      <c r="B89" s="426" t="s">
        <v>134</v>
      </c>
      <c r="C89" s="426"/>
      <c r="D89" s="426"/>
      <c r="E89" s="426"/>
      <c r="F89" s="426"/>
      <c r="G89" s="426"/>
      <c r="H89" s="426"/>
      <c r="I89" s="426"/>
      <c r="J89" s="426"/>
      <c r="K89" s="426"/>
      <c r="L89" s="426"/>
      <c r="M89" s="426"/>
      <c r="N89" s="426"/>
      <c r="O89" s="426"/>
      <c r="P89" s="426"/>
      <c r="Q89" s="426"/>
      <c r="R89" s="426"/>
      <c r="S89" s="426"/>
      <c r="T89" s="426"/>
      <c r="U89" s="426"/>
      <c r="V89" s="426"/>
      <c r="W89" s="426"/>
      <c r="X89" s="426"/>
      <c r="Y89" s="426"/>
      <c r="Z89" s="426"/>
      <c r="AA89" s="426"/>
      <c r="AB89" s="426"/>
      <c r="AC89" s="426"/>
      <c r="AD89" s="426"/>
      <c r="AE89" s="426"/>
      <c r="AF89" s="426"/>
      <c r="AG89" s="426"/>
      <c r="AH89" s="426"/>
      <c r="AI89" s="426"/>
      <c r="AJ89" s="426"/>
      <c r="AK89" s="264"/>
      <c r="AL89" s="264"/>
    </row>
    <row r="90" spans="2:38" ht="22.5" customHeight="1" x14ac:dyDescent="0.25">
      <c r="B90" s="160">
        <v>46</v>
      </c>
      <c r="C90" s="161" t="s">
        <v>505</v>
      </c>
      <c r="D90" s="161" t="s">
        <v>130</v>
      </c>
      <c r="E90" s="211"/>
      <c r="F90" s="161">
        <v>15</v>
      </c>
      <c r="G90" s="257">
        <v>220.8</v>
      </c>
      <c r="H90" s="241">
        <f>F90*G90</f>
        <v>3312</v>
      </c>
      <c r="I90" s="240">
        <v>0</v>
      </c>
      <c r="J90" s="240">
        <v>0</v>
      </c>
      <c r="K90" s="240">
        <v>0</v>
      </c>
      <c r="L90" s="240">
        <v>0</v>
      </c>
      <c r="M90" s="240">
        <v>0</v>
      </c>
      <c r="N90" s="240">
        <v>0</v>
      </c>
      <c r="O90" s="241">
        <f>SUM(H90:N90)</f>
        <v>3312</v>
      </c>
      <c r="P90" s="242"/>
      <c r="Q90" s="241">
        <f>IF(G90=47.16,0,IF(G90&gt;47.16,L90*0.5,0))</f>
        <v>0</v>
      </c>
      <c r="R90" s="241">
        <f>H90+I90+J90+M90+Q90+K90</f>
        <v>3312</v>
      </c>
      <c r="S90" s="241">
        <f>VLOOKUP(R90,TARIFA1,1)</f>
        <v>2699.41</v>
      </c>
      <c r="T90" s="241">
        <f>R90-S90</f>
        <v>612.59000000000015</v>
      </c>
      <c r="U90" s="243">
        <f>VLOOKUP(R90,TARIFA1,3)</f>
        <v>0.10879999999999999</v>
      </c>
      <c r="V90" s="241">
        <f>T90*U90</f>
        <v>66.649792000000005</v>
      </c>
      <c r="W90" s="241">
        <f>VLOOKUP(R90,TARIFA1,2)</f>
        <v>158.55000000000001</v>
      </c>
      <c r="X90" s="241">
        <f>V90+W90</f>
        <v>225.199792</v>
      </c>
      <c r="Y90" s="241">
        <f>VLOOKUP(R90,Credito1,2)</f>
        <v>125.1</v>
      </c>
      <c r="Z90" s="241">
        <f>ROUND(X90-Y90,2)</f>
        <v>100.1</v>
      </c>
      <c r="AA90" s="244"/>
      <c r="AB90" s="241">
        <f>-IF(Z90&gt;0,0,Z90)</f>
        <v>0</v>
      </c>
      <c r="AC90" s="241">
        <f>IF(Z90&lt;0,0,Z90)</f>
        <v>100.1</v>
      </c>
      <c r="AD90" s="241">
        <v>0</v>
      </c>
      <c r="AE90" s="240">
        <v>0</v>
      </c>
      <c r="AF90" s="240">
        <v>0</v>
      </c>
      <c r="AG90" s="245">
        <v>0</v>
      </c>
      <c r="AH90" s="241">
        <f>SUM(AC90:AG90)</f>
        <v>100.1</v>
      </c>
      <c r="AI90" s="241">
        <f>O90+AB90-AJ90-AH90</f>
        <v>3211.9</v>
      </c>
      <c r="AJ90" s="241"/>
      <c r="AK90" s="255"/>
      <c r="AL90" s="255"/>
    </row>
    <row r="91" spans="2:38" ht="22.5" customHeight="1" x14ac:dyDescent="0.25">
      <c r="B91" s="160"/>
      <c r="C91" s="254"/>
      <c r="D91" s="254" t="s">
        <v>111</v>
      </c>
      <c r="E91" s="420"/>
      <c r="F91" s="421"/>
      <c r="G91" s="258"/>
      <c r="H91" s="259">
        <f t="shared" ref="H91:AI91" si="58">SUM(H90:H90)</f>
        <v>3312</v>
      </c>
      <c r="I91" s="259">
        <f t="shared" si="58"/>
        <v>0</v>
      </c>
      <c r="J91" s="259">
        <f t="shared" si="58"/>
        <v>0</v>
      </c>
      <c r="K91" s="259">
        <f t="shared" si="58"/>
        <v>0</v>
      </c>
      <c r="L91" s="259">
        <f t="shared" si="58"/>
        <v>0</v>
      </c>
      <c r="M91" s="259">
        <f t="shared" si="58"/>
        <v>0</v>
      </c>
      <c r="N91" s="259">
        <f t="shared" si="58"/>
        <v>0</v>
      </c>
      <c r="O91" s="259">
        <f t="shared" si="58"/>
        <v>3312</v>
      </c>
      <c r="P91" s="259">
        <f t="shared" si="58"/>
        <v>0</v>
      </c>
      <c r="Q91" s="259">
        <f t="shared" si="58"/>
        <v>0</v>
      </c>
      <c r="R91" s="259">
        <f t="shared" si="58"/>
        <v>3312</v>
      </c>
      <c r="S91" s="259">
        <f t="shared" si="58"/>
        <v>2699.41</v>
      </c>
      <c r="T91" s="259">
        <f t="shared" si="58"/>
        <v>612.59000000000015</v>
      </c>
      <c r="U91" s="259">
        <f t="shared" si="58"/>
        <v>0.10879999999999999</v>
      </c>
      <c r="V91" s="259">
        <f t="shared" si="58"/>
        <v>66.649792000000005</v>
      </c>
      <c r="W91" s="259">
        <f t="shared" si="58"/>
        <v>158.55000000000001</v>
      </c>
      <c r="X91" s="259">
        <f t="shared" si="58"/>
        <v>225.199792</v>
      </c>
      <c r="Y91" s="259">
        <f t="shared" si="58"/>
        <v>125.1</v>
      </c>
      <c r="Z91" s="259">
        <f t="shared" si="58"/>
        <v>100.1</v>
      </c>
      <c r="AA91" s="259"/>
      <c r="AB91" s="259">
        <f t="shared" si="58"/>
        <v>0</v>
      </c>
      <c r="AC91" s="259">
        <f t="shared" si="58"/>
        <v>100.1</v>
      </c>
      <c r="AD91" s="259">
        <f t="shared" si="58"/>
        <v>0</v>
      </c>
      <c r="AE91" s="259">
        <f t="shared" si="58"/>
        <v>0</v>
      </c>
      <c r="AF91" s="259">
        <f t="shared" si="58"/>
        <v>0</v>
      </c>
      <c r="AG91" s="259">
        <f t="shared" si="58"/>
        <v>0</v>
      </c>
      <c r="AH91" s="259">
        <f t="shared" si="58"/>
        <v>100.1</v>
      </c>
      <c r="AI91" s="259">
        <f t="shared" si="58"/>
        <v>3211.9</v>
      </c>
      <c r="AJ91" s="160"/>
      <c r="AK91" s="255"/>
      <c r="AL91" s="261">
        <f>O91+AB91-AH91</f>
        <v>3211.9</v>
      </c>
    </row>
    <row r="92" spans="2:38" ht="22.5" customHeight="1" x14ac:dyDescent="0.25">
      <c r="B92" s="426" t="s">
        <v>136</v>
      </c>
      <c r="C92" s="426"/>
      <c r="D92" s="426"/>
      <c r="E92" s="426"/>
      <c r="F92" s="426"/>
      <c r="G92" s="426"/>
      <c r="H92" s="426"/>
      <c r="I92" s="426"/>
      <c r="J92" s="426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6"/>
      <c r="X92" s="426"/>
      <c r="Y92" s="426"/>
      <c r="Z92" s="426"/>
      <c r="AA92" s="426"/>
      <c r="AB92" s="426"/>
      <c r="AC92" s="426"/>
      <c r="AD92" s="426"/>
      <c r="AE92" s="426"/>
      <c r="AF92" s="426"/>
      <c r="AG92" s="426"/>
      <c r="AH92" s="426"/>
      <c r="AI92" s="426"/>
      <c r="AJ92" s="426"/>
      <c r="AK92" s="255"/>
      <c r="AL92" s="255"/>
    </row>
    <row r="93" spans="2:38" ht="22.5" customHeight="1" x14ac:dyDescent="0.25">
      <c r="B93" s="160">
        <v>47</v>
      </c>
      <c r="C93" s="161" t="s">
        <v>357</v>
      </c>
      <c r="D93" s="161" t="s">
        <v>137</v>
      </c>
      <c r="E93" s="211"/>
      <c r="F93" s="161">
        <v>15</v>
      </c>
      <c r="G93" s="257">
        <v>205.8</v>
      </c>
      <c r="H93" s="241">
        <f>F93*G93</f>
        <v>3087</v>
      </c>
      <c r="I93" s="240">
        <v>0</v>
      </c>
      <c r="J93" s="240">
        <v>0</v>
      </c>
      <c r="K93" s="240">
        <v>0</v>
      </c>
      <c r="L93" s="240">
        <v>0</v>
      </c>
      <c r="M93" s="240">
        <v>0</v>
      </c>
      <c r="N93" s="240">
        <v>0</v>
      </c>
      <c r="O93" s="241">
        <f>SUM(H93:N93)</f>
        <v>3087</v>
      </c>
      <c r="P93" s="242"/>
      <c r="Q93" s="241">
        <f>IF(G93=47.16,0,IF(G93&gt;47.16,L93*0.5,0))</f>
        <v>0</v>
      </c>
      <c r="R93" s="241">
        <f>H93+I93+J93+M93+Q93+K93</f>
        <v>3087</v>
      </c>
      <c r="S93" s="241">
        <f>VLOOKUP(R93,TARIFA1,1)</f>
        <v>2699.41</v>
      </c>
      <c r="T93" s="241">
        <f>R93-S93</f>
        <v>387.59000000000015</v>
      </c>
      <c r="U93" s="243">
        <f>VLOOKUP(R93,TARIFA1,3)</f>
        <v>0.10879999999999999</v>
      </c>
      <c r="V93" s="241">
        <f>T93*U93</f>
        <v>42.169792000000015</v>
      </c>
      <c r="W93" s="241">
        <f>VLOOKUP(R93,TARIFA1,2)</f>
        <v>158.55000000000001</v>
      </c>
      <c r="X93" s="241">
        <f>V93+W93</f>
        <v>200.71979200000004</v>
      </c>
      <c r="Y93" s="241">
        <f>VLOOKUP(R93,Credito1,2)</f>
        <v>125.1</v>
      </c>
      <c r="Z93" s="241">
        <f>ROUND(X93-Y93,2)</f>
        <v>75.62</v>
      </c>
      <c r="AA93" s="244"/>
      <c r="AB93" s="241">
        <f>-IF(Z93&gt;0,0,Z93)</f>
        <v>0</v>
      </c>
      <c r="AC93" s="241">
        <f>IF(Z93&lt;0,0,Z93)</f>
        <v>75.62</v>
      </c>
      <c r="AD93" s="241">
        <v>0</v>
      </c>
      <c r="AE93" s="240">
        <v>0</v>
      </c>
      <c r="AF93" s="240">
        <v>0</v>
      </c>
      <c r="AG93" s="245">
        <v>0</v>
      </c>
      <c r="AH93" s="241">
        <f>SUM(AC93:AG93)</f>
        <v>75.62</v>
      </c>
      <c r="AI93" s="241">
        <f>O93+AB93-AH93</f>
        <v>3011.38</v>
      </c>
      <c r="AJ93" s="241"/>
      <c r="AK93" s="255"/>
      <c r="AL93" s="255"/>
    </row>
    <row r="94" spans="2:38" ht="21" customHeight="1" x14ac:dyDescent="0.25">
      <c r="B94" s="160">
        <v>48</v>
      </c>
      <c r="C94" s="161" t="s">
        <v>500</v>
      </c>
      <c r="D94" s="161" t="s">
        <v>153</v>
      </c>
      <c r="E94" s="211"/>
      <c r="F94" s="161">
        <v>15</v>
      </c>
      <c r="G94" s="257">
        <v>220.87</v>
      </c>
      <c r="H94" s="241">
        <f>F94*G94</f>
        <v>3313.05</v>
      </c>
      <c r="I94" s="240">
        <v>0</v>
      </c>
      <c r="J94" s="240">
        <v>0</v>
      </c>
      <c r="K94" s="240">
        <v>0</v>
      </c>
      <c r="L94" s="240">
        <v>0</v>
      </c>
      <c r="M94" s="240">
        <v>0</v>
      </c>
      <c r="N94" s="240">
        <v>0</v>
      </c>
      <c r="O94" s="241">
        <f>SUM(H94:N94)</f>
        <v>3313.05</v>
      </c>
      <c r="P94" s="242"/>
      <c r="Q94" s="241">
        <f>IF(G94=47.16,0,IF(G94&gt;47.16,L94*0.5,0))</f>
        <v>0</v>
      </c>
      <c r="R94" s="241">
        <f>H94+I94+J94+M94+Q94+K94</f>
        <v>3313.05</v>
      </c>
      <c r="S94" s="241">
        <f>VLOOKUP(R94,TARIFA1,1)</f>
        <v>2699.41</v>
      </c>
      <c r="T94" s="241">
        <f>R94-S94</f>
        <v>613.64000000000033</v>
      </c>
      <c r="U94" s="243">
        <f>VLOOKUP(R94,TARIFA1,3)</f>
        <v>0.10879999999999999</v>
      </c>
      <c r="V94" s="241">
        <f>T94*U94</f>
        <v>66.764032000000029</v>
      </c>
      <c r="W94" s="241">
        <f>VLOOKUP(R94,TARIFA1,2)</f>
        <v>158.55000000000001</v>
      </c>
      <c r="X94" s="241">
        <f>V94+W94</f>
        <v>225.31403200000005</v>
      </c>
      <c r="Y94" s="241">
        <f>VLOOKUP(R94,Credito1,2)</f>
        <v>125.1</v>
      </c>
      <c r="Z94" s="241">
        <f>ROUND(X94-Y94,2)</f>
        <v>100.21</v>
      </c>
      <c r="AA94" s="244"/>
      <c r="AB94" s="241">
        <f>-IF(Z94&gt;0,0,Z94)</f>
        <v>0</v>
      </c>
      <c r="AC94" s="241">
        <f>IF(Z94&lt;0,0,Z94)</f>
        <v>100.21</v>
      </c>
      <c r="AD94" s="241">
        <v>0</v>
      </c>
      <c r="AE94" s="240">
        <v>0</v>
      </c>
      <c r="AF94" s="240">
        <v>0</v>
      </c>
      <c r="AG94" s="245">
        <v>0</v>
      </c>
      <c r="AH94" s="241">
        <f>SUM(AC94:AG94)</f>
        <v>100.21</v>
      </c>
      <c r="AI94" s="241">
        <f>O94+AB94-AH94</f>
        <v>3212.84</v>
      </c>
      <c r="AJ94" s="241"/>
      <c r="AK94" s="255"/>
      <c r="AL94" s="255"/>
    </row>
    <row r="95" spans="2:38" ht="21.75" customHeight="1" x14ac:dyDescent="0.25">
      <c r="B95" s="160"/>
      <c r="C95" s="161"/>
      <c r="D95" s="254" t="s">
        <v>111</v>
      </c>
      <c r="E95" s="254"/>
      <c r="F95" s="254"/>
      <c r="G95" s="258"/>
      <c r="H95" s="259">
        <f t="shared" ref="H95:AI95" si="59">SUM(H93:H94)</f>
        <v>6400.05</v>
      </c>
      <c r="I95" s="259">
        <f t="shared" si="59"/>
        <v>0</v>
      </c>
      <c r="J95" s="259">
        <f t="shared" si="59"/>
        <v>0</v>
      </c>
      <c r="K95" s="259">
        <f t="shared" si="59"/>
        <v>0</v>
      </c>
      <c r="L95" s="259">
        <f t="shared" si="59"/>
        <v>0</v>
      </c>
      <c r="M95" s="259">
        <f t="shared" si="59"/>
        <v>0</v>
      </c>
      <c r="N95" s="259">
        <f t="shared" si="59"/>
        <v>0</v>
      </c>
      <c r="O95" s="259">
        <f t="shared" si="59"/>
        <v>6400.05</v>
      </c>
      <c r="P95" s="259"/>
      <c r="Q95" s="259">
        <f t="shared" si="59"/>
        <v>0</v>
      </c>
      <c r="R95" s="259">
        <f t="shared" si="59"/>
        <v>6400.05</v>
      </c>
      <c r="S95" s="259">
        <f t="shared" si="59"/>
        <v>5398.82</v>
      </c>
      <c r="T95" s="259">
        <f t="shared" si="59"/>
        <v>1001.2300000000005</v>
      </c>
      <c r="U95" s="259">
        <f t="shared" si="59"/>
        <v>0.21759999999999999</v>
      </c>
      <c r="V95" s="259">
        <f t="shared" si="59"/>
        <v>108.93382400000004</v>
      </c>
      <c r="W95" s="259">
        <f t="shared" si="59"/>
        <v>317.10000000000002</v>
      </c>
      <c r="X95" s="259">
        <f t="shared" si="59"/>
        <v>426.0338240000001</v>
      </c>
      <c r="Y95" s="259">
        <f t="shared" si="59"/>
        <v>250.2</v>
      </c>
      <c r="Z95" s="259">
        <f t="shared" si="59"/>
        <v>175.82999999999998</v>
      </c>
      <c r="AA95" s="259"/>
      <c r="AB95" s="259">
        <f t="shared" si="59"/>
        <v>0</v>
      </c>
      <c r="AC95" s="259">
        <f t="shared" si="59"/>
        <v>175.82999999999998</v>
      </c>
      <c r="AD95" s="259">
        <f t="shared" si="59"/>
        <v>0</v>
      </c>
      <c r="AE95" s="259">
        <f t="shared" si="59"/>
        <v>0</v>
      </c>
      <c r="AF95" s="259">
        <f t="shared" si="59"/>
        <v>0</v>
      </c>
      <c r="AG95" s="259">
        <f t="shared" si="59"/>
        <v>0</v>
      </c>
      <c r="AH95" s="259">
        <f t="shared" si="59"/>
        <v>175.82999999999998</v>
      </c>
      <c r="AI95" s="259">
        <f t="shared" si="59"/>
        <v>6224.22</v>
      </c>
      <c r="AJ95" s="160"/>
      <c r="AK95" s="255"/>
      <c r="AL95" s="261">
        <f>O95+AB95-AH95</f>
        <v>6224.22</v>
      </c>
    </row>
    <row r="96" spans="2:38" ht="21.75" customHeight="1" x14ac:dyDescent="0.25">
      <c r="B96" s="422" t="s">
        <v>138</v>
      </c>
      <c r="C96" s="423"/>
      <c r="D96" s="423"/>
      <c r="E96" s="423"/>
      <c r="F96" s="423"/>
      <c r="G96" s="423"/>
      <c r="H96" s="423"/>
      <c r="I96" s="423"/>
      <c r="J96" s="423"/>
      <c r="K96" s="423"/>
      <c r="L96" s="423"/>
      <c r="M96" s="423"/>
      <c r="N96" s="423"/>
      <c r="O96" s="423"/>
      <c r="P96" s="423"/>
      <c r="Q96" s="423"/>
      <c r="R96" s="423"/>
      <c r="S96" s="423"/>
      <c r="T96" s="423"/>
      <c r="U96" s="423"/>
      <c r="V96" s="423"/>
      <c r="W96" s="423"/>
      <c r="X96" s="423"/>
      <c r="Y96" s="423"/>
      <c r="Z96" s="423"/>
      <c r="AA96" s="423"/>
      <c r="AB96" s="423"/>
      <c r="AC96" s="423"/>
      <c r="AD96" s="423"/>
      <c r="AE96" s="423"/>
      <c r="AF96" s="423"/>
      <c r="AG96" s="423"/>
      <c r="AH96" s="423"/>
      <c r="AI96" s="423"/>
      <c r="AJ96" s="424"/>
      <c r="AK96" s="255"/>
      <c r="AL96" s="255"/>
    </row>
    <row r="97" spans="2:40" s="109" customFormat="1" ht="21.75" customHeight="1" x14ac:dyDescent="0.25">
      <c r="B97" s="211">
        <v>49</v>
      </c>
      <c r="C97" s="211" t="s">
        <v>282</v>
      </c>
      <c r="D97" s="247" t="s">
        <v>113</v>
      </c>
      <c r="E97" s="247"/>
      <c r="F97" s="247">
        <v>15</v>
      </c>
      <c r="G97" s="265">
        <v>575.53</v>
      </c>
      <c r="H97" s="241">
        <f>F97*G97</f>
        <v>8632.9499999999989</v>
      </c>
      <c r="I97" s="241">
        <v>0</v>
      </c>
      <c r="J97" s="241">
        <v>0</v>
      </c>
      <c r="K97" s="241">
        <v>0</v>
      </c>
      <c r="L97" s="241">
        <v>0</v>
      </c>
      <c r="M97" s="241">
        <v>0</v>
      </c>
      <c r="N97" s="241">
        <v>0</v>
      </c>
      <c r="O97" s="241">
        <f>SUM(H97:N97)</f>
        <v>8632.9499999999989</v>
      </c>
      <c r="P97" s="241"/>
      <c r="Q97" s="241"/>
      <c r="R97" s="241">
        <f>H97+I97+J97+M97+Q97+K97</f>
        <v>8632.9499999999989</v>
      </c>
      <c r="S97" s="241">
        <f>VLOOKUP(R97,TARIFA1,1)</f>
        <v>6602.71</v>
      </c>
      <c r="T97" s="241">
        <f>R97-S97</f>
        <v>2030.2399999999989</v>
      </c>
      <c r="U97" s="243">
        <f>VLOOKUP(R97,TARIFA1,3)</f>
        <v>0.21360000000000001</v>
      </c>
      <c r="V97" s="241">
        <f>T97*U97</f>
        <v>433.65926399999978</v>
      </c>
      <c r="W97" s="241">
        <f>VLOOKUP(R97,TARIFA1,2)</f>
        <v>699.3</v>
      </c>
      <c r="X97" s="241">
        <f>V97+W97</f>
        <v>1132.9592639999996</v>
      </c>
      <c r="Y97" s="241">
        <f>VLOOKUP(R97,Credito1,2)</f>
        <v>0</v>
      </c>
      <c r="Z97" s="241">
        <f>ROUND(X97-Y97,2)</f>
        <v>1132.96</v>
      </c>
      <c r="AA97" s="241"/>
      <c r="AB97" s="241">
        <f>-IF(Z97&gt;0,0,Z97)</f>
        <v>0</v>
      </c>
      <c r="AC97" s="241">
        <f>IF(Z97&lt;0,0,Z97)</f>
        <v>1132.96</v>
      </c>
      <c r="AD97" s="241">
        <v>0</v>
      </c>
      <c r="AE97" s="241">
        <v>0</v>
      </c>
      <c r="AF97" s="241">
        <v>0</v>
      </c>
      <c r="AG97" s="241">
        <v>0</v>
      </c>
      <c r="AH97" s="241">
        <f>SUM(AC97:AG97)</f>
        <v>1132.96</v>
      </c>
      <c r="AI97" s="241">
        <f>O97+AB97-AH97</f>
        <v>7499.9899999999989</v>
      </c>
      <c r="AJ97" s="241"/>
      <c r="AK97" s="266"/>
      <c r="AL97" s="266"/>
    </row>
    <row r="98" spans="2:40" ht="24" customHeight="1" x14ac:dyDescent="0.25">
      <c r="B98" s="160">
        <v>50</v>
      </c>
      <c r="C98" s="161" t="s">
        <v>370</v>
      </c>
      <c r="D98" s="161" t="s">
        <v>121</v>
      </c>
      <c r="E98" s="211"/>
      <c r="F98" s="161">
        <v>15</v>
      </c>
      <c r="G98" s="257">
        <v>166.67</v>
      </c>
      <c r="H98" s="241">
        <f>F98*G98</f>
        <v>2500.0499999999997</v>
      </c>
      <c r="I98" s="240">
        <v>0</v>
      </c>
      <c r="J98" s="240">
        <v>0</v>
      </c>
      <c r="K98" s="240">
        <v>0</v>
      </c>
      <c r="L98" s="240">
        <v>0</v>
      </c>
      <c r="M98" s="240">
        <v>0</v>
      </c>
      <c r="N98" s="240">
        <v>0</v>
      </c>
      <c r="O98" s="241">
        <f>SUM(H98:N98)</f>
        <v>2500.0499999999997</v>
      </c>
      <c r="P98" s="242"/>
      <c r="Q98" s="241">
        <f>IF(G98=47.16,0,IF(G98&gt;47.16,L98*0.5,0))</f>
        <v>0</v>
      </c>
      <c r="R98" s="241">
        <f>H98+I98+J98+M98+Q98+K98</f>
        <v>2500.0499999999997</v>
      </c>
      <c r="S98" s="241">
        <f>VLOOKUP(R98,TARIFA1,1)</f>
        <v>318.01</v>
      </c>
      <c r="T98" s="241">
        <f>R98-S98</f>
        <v>2182.04</v>
      </c>
      <c r="U98" s="243">
        <f>VLOOKUP(R98,TARIFA1,3)</f>
        <v>6.4000000000000001E-2</v>
      </c>
      <c r="V98" s="241">
        <f>T98*U98</f>
        <v>139.65056000000001</v>
      </c>
      <c r="W98" s="241">
        <f>VLOOKUP(R98,TARIFA1,2)</f>
        <v>6.15</v>
      </c>
      <c r="X98" s="241">
        <f>V98+W98</f>
        <v>145.80056000000002</v>
      </c>
      <c r="Y98" s="241">
        <f>VLOOKUP(R98,Credito1,2)</f>
        <v>160.35</v>
      </c>
      <c r="Z98" s="241">
        <f>ROUND(X98-Y98,2)</f>
        <v>-14.55</v>
      </c>
      <c r="AA98" s="244"/>
      <c r="AB98" s="241">
        <f>-IF(Z98&gt;0,0,Z98)</f>
        <v>14.55</v>
      </c>
      <c r="AC98" s="241">
        <f>IF(Z98&lt;0,0,Z98)</f>
        <v>0</v>
      </c>
      <c r="AD98" s="241">
        <v>0</v>
      </c>
      <c r="AE98" s="240">
        <v>0</v>
      </c>
      <c r="AF98" s="240">
        <v>0</v>
      </c>
      <c r="AG98" s="245">
        <v>0</v>
      </c>
      <c r="AH98" s="241">
        <f>SUM(AC98:AG98)</f>
        <v>0</v>
      </c>
      <c r="AI98" s="241">
        <f>O98+AB98-AH98</f>
        <v>2514.6</v>
      </c>
      <c r="AJ98" s="241"/>
      <c r="AK98" s="255"/>
      <c r="AL98" s="255"/>
    </row>
    <row r="99" spans="2:40" s="103" customFormat="1" ht="23.25" customHeight="1" x14ac:dyDescent="0.25">
      <c r="B99" s="160">
        <v>51</v>
      </c>
      <c r="C99" s="161" t="s">
        <v>514</v>
      </c>
      <c r="D99" s="161" t="s">
        <v>176</v>
      </c>
      <c r="E99" s="211"/>
      <c r="F99" s="161">
        <v>15</v>
      </c>
      <c r="G99" s="257">
        <v>291.33</v>
      </c>
      <c r="H99" s="241">
        <f>F99*G99</f>
        <v>4369.95</v>
      </c>
      <c r="I99" s="240">
        <v>0</v>
      </c>
      <c r="J99" s="240">
        <v>0</v>
      </c>
      <c r="K99" s="240">
        <v>0</v>
      </c>
      <c r="L99" s="240">
        <v>0</v>
      </c>
      <c r="M99" s="240">
        <v>0</v>
      </c>
      <c r="N99" s="240">
        <v>0</v>
      </c>
      <c r="O99" s="241">
        <f>SUM(H99:N99)</f>
        <v>4369.95</v>
      </c>
      <c r="P99" s="242"/>
      <c r="Q99" s="241">
        <f>IF(G99=47.16,0,IF(G99&gt;47.16,L99*0.5,0))</f>
        <v>0</v>
      </c>
      <c r="R99" s="241">
        <f>H99+I99+J99+M99+Q99+K99</f>
        <v>4369.95</v>
      </c>
      <c r="S99" s="241">
        <f>VLOOKUP(R99,TARIFA1,1)</f>
        <v>2699.41</v>
      </c>
      <c r="T99" s="241">
        <f>R99-S99</f>
        <v>1670.54</v>
      </c>
      <c r="U99" s="243">
        <f>VLOOKUP(R99,TARIFA1,3)</f>
        <v>0.10879999999999999</v>
      </c>
      <c r="V99" s="241">
        <f>T99*U99</f>
        <v>181.754752</v>
      </c>
      <c r="W99" s="241">
        <f>VLOOKUP(R99,TARIFA1,2)</f>
        <v>158.55000000000001</v>
      </c>
      <c r="X99" s="241">
        <f>V99+W99</f>
        <v>340.30475200000001</v>
      </c>
      <c r="Y99" s="241">
        <f>VLOOKUP(R99,Credito1,2)</f>
        <v>0</v>
      </c>
      <c r="Z99" s="241">
        <f>ROUND(X99-Y99,2)</f>
        <v>340.3</v>
      </c>
      <c r="AA99" s="244"/>
      <c r="AB99" s="241">
        <f>-IF(Z99&gt;0,0,Z99)</f>
        <v>0</v>
      </c>
      <c r="AC99" s="241">
        <f>IF(Z99&lt;0,0,Z99)</f>
        <v>340.3</v>
      </c>
      <c r="AD99" s="241">
        <v>0</v>
      </c>
      <c r="AE99" s="240">
        <v>0</v>
      </c>
      <c r="AF99" s="240">
        <v>0</v>
      </c>
      <c r="AG99" s="245">
        <v>0</v>
      </c>
      <c r="AH99" s="241">
        <f>SUM(AC99:AG99)</f>
        <v>340.3</v>
      </c>
      <c r="AI99" s="241">
        <f>O99+AB99-AH99</f>
        <v>4029.6499999999996</v>
      </c>
      <c r="AJ99" s="241"/>
      <c r="AK99" s="255"/>
      <c r="AL99" s="255"/>
    </row>
    <row r="100" spans="2:40" ht="21" customHeight="1" x14ac:dyDescent="0.25">
      <c r="B100" s="160"/>
      <c r="C100" s="161"/>
      <c r="D100" s="254" t="s">
        <v>111</v>
      </c>
      <c r="E100" s="420"/>
      <c r="F100" s="421"/>
      <c r="G100" s="258"/>
      <c r="H100" s="259">
        <f>SUM(H97:H99)</f>
        <v>15502.949999999997</v>
      </c>
      <c r="I100" s="259">
        <f t="shared" ref="I100:AG100" si="60">SUM(I98:I99)</f>
        <v>0</v>
      </c>
      <c r="J100" s="259">
        <f t="shared" si="60"/>
        <v>0</v>
      </c>
      <c r="K100" s="259">
        <f t="shared" si="60"/>
        <v>0</v>
      </c>
      <c r="L100" s="259">
        <f t="shared" si="60"/>
        <v>0</v>
      </c>
      <c r="M100" s="259">
        <f t="shared" si="60"/>
        <v>0</v>
      </c>
      <c r="N100" s="259">
        <f t="shared" si="60"/>
        <v>0</v>
      </c>
      <c r="O100" s="259">
        <f>SUM(O97:O99)</f>
        <v>15502.949999999997</v>
      </c>
      <c r="P100" s="259"/>
      <c r="Q100" s="259">
        <f t="shared" si="60"/>
        <v>0</v>
      </c>
      <c r="R100" s="259">
        <f t="shared" si="60"/>
        <v>6870</v>
      </c>
      <c r="S100" s="259">
        <f t="shared" si="60"/>
        <v>3017.42</v>
      </c>
      <c r="T100" s="259">
        <f t="shared" si="60"/>
        <v>3852.58</v>
      </c>
      <c r="U100" s="259">
        <f t="shared" si="60"/>
        <v>0.17280000000000001</v>
      </c>
      <c r="V100" s="259">
        <f t="shared" si="60"/>
        <v>321.40531199999998</v>
      </c>
      <c r="W100" s="259">
        <f t="shared" si="60"/>
        <v>164.70000000000002</v>
      </c>
      <c r="X100" s="259">
        <f t="shared" si="60"/>
        <v>486.10531200000003</v>
      </c>
      <c r="Y100" s="259">
        <f t="shared" si="60"/>
        <v>160.35</v>
      </c>
      <c r="Z100" s="259">
        <f t="shared" si="60"/>
        <v>325.75</v>
      </c>
      <c r="AA100" s="259"/>
      <c r="AB100" s="259">
        <f>SUM(AB97:AB99)</f>
        <v>14.55</v>
      </c>
      <c r="AC100" s="259">
        <f>SUM(AC97:AC99)</f>
        <v>1473.26</v>
      </c>
      <c r="AD100" s="259">
        <f t="shared" si="60"/>
        <v>0</v>
      </c>
      <c r="AE100" s="259">
        <f t="shared" si="60"/>
        <v>0</v>
      </c>
      <c r="AF100" s="259">
        <f t="shared" si="60"/>
        <v>0</v>
      </c>
      <c r="AG100" s="259">
        <f t="shared" si="60"/>
        <v>0</v>
      </c>
      <c r="AH100" s="259">
        <f>SUM(AH97:AH99)</f>
        <v>1473.26</v>
      </c>
      <c r="AI100" s="259">
        <f>SUM(AI97:AI99)</f>
        <v>14044.239999999998</v>
      </c>
      <c r="AJ100" s="160"/>
      <c r="AK100" s="255"/>
      <c r="AL100" s="261">
        <f>O100+AB100-AH100</f>
        <v>14044.239999999996</v>
      </c>
      <c r="AN100" s="100">
        <v>29151.26</v>
      </c>
    </row>
    <row r="101" spans="2:40" ht="22.5" customHeight="1" x14ac:dyDescent="0.25">
      <c r="B101" s="426" t="s">
        <v>166</v>
      </c>
      <c r="C101" s="426"/>
      <c r="D101" s="426"/>
      <c r="E101" s="426"/>
      <c r="F101" s="426"/>
      <c r="G101" s="426"/>
      <c r="H101" s="426"/>
      <c r="I101" s="426"/>
      <c r="J101" s="426"/>
      <c r="K101" s="426"/>
      <c r="L101" s="426"/>
      <c r="M101" s="426"/>
      <c r="N101" s="426"/>
      <c r="O101" s="426"/>
      <c r="P101" s="426"/>
      <c r="Q101" s="426"/>
      <c r="R101" s="426"/>
      <c r="S101" s="426"/>
      <c r="T101" s="426"/>
      <c r="U101" s="426"/>
      <c r="V101" s="426"/>
      <c r="W101" s="426"/>
      <c r="X101" s="426"/>
      <c r="Y101" s="426"/>
      <c r="Z101" s="426"/>
      <c r="AA101" s="426"/>
      <c r="AB101" s="426"/>
      <c r="AC101" s="426"/>
      <c r="AD101" s="426"/>
      <c r="AE101" s="426"/>
      <c r="AF101" s="426"/>
      <c r="AG101" s="426"/>
      <c r="AH101" s="426"/>
      <c r="AI101" s="426"/>
      <c r="AJ101" s="426"/>
      <c r="AK101" s="255"/>
      <c r="AL101" s="255"/>
    </row>
    <row r="102" spans="2:40" ht="22.5" customHeight="1" x14ac:dyDescent="0.25">
      <c r="B102" s="160">
        <v>52</v>
      </c>
      <c r="C102" s="161" t="s">
        <v>492</v>
      </c>
      <c r="D102" s="161" t="s">
        <v>113</v>
      </c>
      <c r="E102" s="211"/>
      <c r="F102" s="161">
        <v>15</v>
      </c>
      <c r="G102" s="257">
        <v>303</v>
      </c>
      <c r="H102" s="241">
        <f>F102*G102</f>
        <v>4545</v>
      </c>
      <c r="I102" s="240">
        <v>0</v>
      </c>
      <c r="J102" s="240">
        <v>0</v>
      </c>
      <c r="K102" s="240">
        <v>0</v>
      </c>
      <c r="L102" s="240">
        <v>0</v>
      </c>
      <c r="M102" s="240">
        <v>0</v>
      </c>
      <c r="N102" s="240">
        <v>0</v>
      </c>
      <c r="O102" s="241">
        <f>SUM(H102:N102)</f>
        <v>4545</v>
      </c>
      <c r="P102" s="242"/>
      <c r="Q102" s="241">
        <f>IF(G102=47.16,0,IF(G102&gt;47.16,L102*0.5,0))</f>
        <v>0</v>
      </c>
      <c r="R102" s="241">
        <f>H102+I102+J102+M102+Q102+K102</f>
        <v>4545</v>
      </c>
      <c r="S102" s="241">
        <f>VLOOKUP(R102,TARIFA1,1)</f>
        <v>2699.41</v>
      </c>
      <c r="T102" s="241">
        <f>R102-S102</f>
        <v>1845.5900000000001</v>
      </c>
      <c r="U102" s="243">
        <f>VLOOKUP(R102,TARIFA1,3)</f>
        <v>0.10879999999999999</v>
      </c>
      <c r="V102" s="241">
        <f>T102*U102</f>
        <v>200.80019200000001</v>
      </c>
      <c r="W102" s="241">
        <f>VLOOKUP(R102,TARIFA1,2)</f>
        <v>158.55000000000001</v>
      </c>
      <c r="X102" s="241">
        <f>V102+W102</f>
        <v>359.35019199999999</v>
      </c>
      <c r="Y102" s="241">
        <f>VLOOKUP(R102,Credito1,2)</f>
        <v>0</v>
      </c>
      <c r="Z102" s="241">
        <f>ROUND(X102-Y102,2)</f>
        <v>359.35</v>
      </c>
      <c r="AA102" s="244"/>
      <c r="AB102" s="241">
        <f>-IF(Z102&gt;0,0,Z102)</f>
        <v>0</v>
      </c>
      <c r="AC102" s="241">
        <f>IF(Z102&lt;0,0,Z102)</f>
        <v>359.35</v>
      </c>
      <c r="AD102" s="241">
        <v>0</v>
      </c>
      <c r="AE102" s="240">
        <v>0</v>
      </c>
      <c r="AF102" s="240">
        <v>0</v>
      </c>
      <c r="AG102" s="245">
        <v>0</v>
      </c>
      <c r="AH102" s="241">
        <f>SUM(AC102:AG102)</f>
        <v>359.35</v>
      </c>
      <c r="AI102" s="241">
        <f>O102+AB102-AH102</f>
        <v>4185.6499999999996</v>
      </c>
      <c r="AJ102" s="241"/>
      <c r="AK102" s="255"/>
      <c r="AL102" s="255"/>
    </row>
    <row r="103" spans="2:40" ht="21.75" customHeight="1" x14ac:dyDescent="0.25">
      <c r="B103" s="160"/>
      <c r="C103" s="161"/>
      <c r="D103" s="254" t="s">
        <v>111</v>
      </c>
      <c r="E103" s="267"/>
      <c r="F103" s="268"/>
      <c r="G103" s="258"/>
      <c r="H103" s="259">
        <f>SUM(H102:H102)</f>
        <v>4545</v>
      </c>
      <c r="I103" s="259">
        <f t="shared" ref="I103:AI103" si="61">SUM(I102:I102)</f>
        <v>0</v>
      </c>
      <c r="J103" s="259">
        <f t="shared" si="61"/>
        <v>0</v>
      </c>
      <c r="K103" s="259">
        <f t="shared" si="61"/>
        <v>0</v>
      </c>
      <c r="L103" s="259">
        <f t="shared" si="61"/>
        <v>0</v>
      </c>
      <c r="M103" s="259">
        <f t="shared" si="61"/>
        <v>0</v>
      </c>
      <c r="N103" s="259">
        <f t="shared" si="61"/>
        <v>0</v>
      </c>
      <c r="O103" s="259">
        <f t="shared" si="61"/>
        <v>4545</v>
      </c>
      <c r="P103" s="259"/>
      <c r="Q103" s="259">
        <f t="shared" si="61"/>
        <v>0</v>
      </c>
      <c r="R103" s="259">
        <f t="shared" si="61"/>
        <v>4545</v>
      </c>
      <c r="S103" s="259">
        <f t="shared" si="61"/>
        <v>2699.41</v>
      </c>
      <c r="T103" s="259">
        <f t="shared" si="61"/>
        <v>1845.5900000000001</v>
      </c>
      <c r="U103" s="259">
        <f t="shared" si="61"/>
        <v>0.10879999999999999</v>
      </c>
      <c r="V103" s="259">
        <f t="shared" si="61"/>
        <v>200.80019200000001</v>
      </c>
      <c r="W103" s="259">
        <f t="shared" si="61"/>
        <v>158.55000000000001</v>
      </c>
      <c r="X103" s="259">
        <f t="shared" si="61"/>
        <v>359.35019199999999</v>
      </c>
      <c r="Y103" s="259">
        <f t="shared" si="61"/>
        <v>0</v>
      </c>
      <c r="Z103" s="259">
        <f t="shared" si="61"/>
        <v>359.35</v>
      </c>
      <c r="AA103" s="259"/>
      <c r="AB103" s="259">
        <f t="shared" si="61"/>
        <v>0</v>
      </c>
      <c r="AC103" s="259">
        <f t="shared" si="61"/>
        <v>359.35</v>
      </c>
      <c r="AD103" s="259">
        <f t="shared" si="61"/>
        <v>0</v>
      </c>
      <c r="AE103" s="259">
        <f t="shared" si="61"/>
        <v>0</v>
      </c>
      <c r="AF103" s="259">
        <f t="shared" si="61"/>
        <v>0</v>
      </c>
      <c r="AG103" s="259">
        <f t="shared" si="61"/>
        <v>0</v>
      </c>
      <c r="AH103" s="259">
        <f t="shared" si="61"/>
        <v>359.35</v>
      </c>
      <c r="AI103" s="259">
        <f t="shared" si="61"/>
        <v>4185.6499999999996</v>
      </c>
      <c r="AJ103" s="160"/>
      <c r="AK103" s="255"/>
      <c r="AL103" s="261">
        <f>O103+AB103-AH103</f>
        <v>4185.6499999999996</v>
      </c>
      <c r="AN103" s="103"/>
    </row>
    <row r="104" spans="2:40" ht="26.25" customHeight="1" x14ac:dyDescent="0.25">
      <c r="B104" s="426" t="s">
        <v>187</v>
      </c>
      <c r="C104" s="426"/>
      <c r="D104" s="426"/>
      <c r="E104" s="426"/>
      <c r="F104" s="426"/>
      <c r="G104" s="426"/>
      <c r="H104" s="426"/>
      <c r="I104" s="426"/>
      <c r="J104" s="426"/>
      <c r="K104" s="426"/>
      <c r="L104" s="426"/>
      <c r="M104" s="426"/>
      <c r="N104" s="426"/>
      <c r="O104" s="426"/>
      <c r="P104" s="426"/>
      <c r="Q104" s="426"/>
      <c r="R104" s="426"/>
      <c r="S104" s="426"/>
      <c r="T104" s="426"/>
      <c r="U104" s="426"/>
      <c r="V104" s="426"/>
      <c r="W104" s="426"/>
      <c r="X104" s="426"/>
      <c r="Y104" s="426"/>
      <c r="Z104" s="426"/>
      <c r="AA104" s="426"/>
      <c r="AB104" s="426"/>
      <c r="AC104" s="426"/>
      <c r="AD104" s="426"/>
      <c r="AE104" s="426"/>
      <c r="AF104" s="426"/>
      <c r="AG104" s="426"/>
      <c r="AH104" s="426"/>
      <c r="AI104" s="426"/>
      <c r="AJ104" s="426"/>
      <c r="AK104" s="255"/>
      <c r="AL104" s="255"/>
      <c r="AN104" s="103"/>
    </row>
    <row r="105" spans="2:40" ht="22.5" customHeight="1" x14ac:dyDescent="0.25">
      <c r="B105" s="160">
        <v>53</v>
      </c>
      <c r="C105" s="161" t="s">
        <v>369</v>
      </c>
      <c r="D105" s="161" t="s">
        <v>113</v>
      </c>
      <c r="E105" s="211"/>
      <c r="F105" s="161">
        <v>15</v>
      </c>
      <c r="G105" s="257">
        <v>400</v>
      </c>
      <c r="H105" s="241">
        <f>F105*G105</f>
        <v>6000</v>
      </c>
      <c r="I105" s="240">
        <v>0</v>
      </c>
      <c r="J105" s="240">
        <v>0</v>
      </c>
      <c r="K105" s="240">
        <v>0</v>
      </c>
      <c r="L105" s="240">
        <v>0</v>
      </c>
      <c r="M105" s="240">
        <v>0</v>
      </c>
      <c r="N105" s="240">
        <v>0</v>
      </c>
      <c r="O105" s="241">
        <f>SUM(H105:N105)</f>
        <v>6000</v>
      </c>
      <c r="P105" s="242"/>
      <c r="Q105" s="241">
        <f>IF(G105=47.16,0,IF(G105&gt;47.16,L105*0.5,0))</f>
        <v>0</v>
      </c>
      <c r="R105" s="241">
        <f>H105+I105+J105+M105+Q105+K105</f>
        <v>6000</v>
      </c>
      <c r="S105" s="241">
        <f>VLOOKUP(R105,TARIFA1,1)</f>
        <v>5514.76</v>
      </c>
      <c r="T105" s="241">
        <f>R105-S105</f>
        <v>485.23999999999978</v>
      </c>
      <c r="U105" s="243">
        <f>VLOOKUP(R105,TARIFA1,3)</f>
        <v>0.1792</v>
      </c>
      <c r="V105" s="241">
        <f>T105*U105</f>
        <v>86.955007999999964</v>
      </c>
      <c r="W105" s="241">
        <f>VLOOKUP(R105,TARIFA1,2)</f>
        <v>504.3</v>
      </c>
      <c r="X105" s="241">
        <f>V105+W105</f>
        <v>591.25500799999998</v>
      </c>
      <c r="Y105" s="241">
        <f>VLOOKUP(R105,Credito1,2)</f>
        <v>0</v>
      </c>
      <c r="Z105" s="241">
        <f>ROUND(X105-Y105,2)</f>
        <v>591.26</v>
      </c>
      <c r="AA105" s="244"/>
      <c r="AB105" s="241">
        <f>-IF(Z105&gt;0,0,Z105)</f>
        <v>0</v>
      </c>
      <c r="AC105" s="241">
        <f>IF(Z105&lt;0,0,Z105)</f>
        <v>591.26</v>
      </c>
      <c r="AD105" s="241">
        <v>0</v>
      </c>
      <c r="AE105" s="240">
        <v>0</v>
      </c>
      <c r="AF105" s="240">
        <v>0</v>
      </c>
      <c r="AG105" s="245">
        <v>0</v>
      </c>
      <c r="AH105" s="241">
        <f>SUM(AC105:AG105)</f>
        <v>591.26</v>
      </c>
      <c r="AI105" s="241">
        <f>O105+AB105-AH105</f>
        <v>5408.74</v>
      </c>
      <c r="AJ105" s="241"/>
      <c r="AK105" s="255"/>
      <c r="AL105" s="255"/>
      <c r="AN105" s="103"/>
    </row>
    <row r="106" spans="2:40" ht="22.5" customHeight="1" x14ac:dyDescent="0.25">
      <c r="B106" s="160">
        <v>54</v>
      </c>
      <c r="C106" s="161" t="s">
        <v>431</v>
      </c>
      <c r="D106" s="161" t="s">
        <v>121</v>
      </c>
      <c r="E106" s="211"/>
      <c r="F106" s="161">
        <v>15</v>
      </c>
      <c r="G106" s="257">
        <v>166.67</v>
      </c>
      <c r="H106" s="241">
        <f>F106*G106</f>
        <v>2500.0499999999997</v>
      </c>
      <c r="I106" s="240">
        <v>0</v>
      </c>
      <c r="J106" s="240">
        <v>0</v>
      </c>
      <c r="K106" s="240">
        <v>0</v>
      </c>
      <c r="L106" s="240">
        <v>0</v>
      </c>
      <c r="M106" s="240">
        <v>0</v>
      </c>
      <c r="N106" s="240">
        <v>0</v>
      </c>
      <c r="O106" s="241">
        <f>SUM(H106:N106)</f>
        <v>2500.0499999999997</v>
      </c>
      <c r="P106" s="242"/>
      <c r="Q106" s="241">
        <v>0</v>
      </c>
      <c r="R106" s="241">
        <f>H106+I106+J106+M106+Q106+K106</f>
        <v>2500.0499999999997</v>
      </c>
      <c r="S106" s="241">
        <f>VLOOKUP(R106,TARIFA1,1)</f>
        <v>318.01</v>
      </c>
      <c r="T106" s="241">
        <f>R106-S106</f>
        <v>2182.04</v>
      </c>
      <c r="U106" s="243">
        <f>VLOOKUP(R106,TARIFA1,3)</f>
        <v>6.4000000000000001E-2</v>
      </c>
      <c r="V106" s="241">
        <f>T106*U106</f>
        <v>139.65056000000001</v>
      </c>
      <c r="W106" s="241">
        <f>VLOOKUP(R106,TARIFA1,2)</f>
        <v>6.15</v>
      </c>
      <c r="X106" s="241">
        <f>V106+W106</f>
        <v>145.80056000000002</v>
      </c>
      <c r="Y106" s="241">
        <f>VLOOKUP(R106,Credito1,2)</f>
        <v>160.35</v>
      </c>
      <c r="Z106" s="241">
        <f>ROUND(X106-Y106,2)</f>
        <v>-14.55</v>
      </c>
      <c r="AA106" s="244"/>
      <c r="AB106" s="241">
        <f>-IF(Z106&gt;0,0,Z106)</f>
        <v>14.55</v>
      </c>
      <c r="AC106" s="241">
        <f>IF(Z106&lt;0,0,Z106)</f>
        <v>0</v>
      </c>
      <c r="AD106" s="241">
        <v>0</v>
      </c>
      <c r="AE106" s="240">
        <v>0</v>
      </c>
      <c r="AF106" s="240">
        <v>0</v>
      </c>
      <c r="AG106" s="245">
        <v>0</v>
      </c>
      <c r="AH106" s="241">
        <f>SUM(AC106:AG106)</f>
        <v>0</v>
      </c>
      <c r="AI106" s="241">
        <f>O106+AB106-AH106</f>
        <v>2514.6</v>
      </c>
      <c r="AJ106" s="241"/>
      <c r="AK106" s="255"/>
      <c r="AL106" s="255"/>
      <c r="AN106" s="103"/>
    </row>
    <row r="107" spans="2:40" ht="21.75" customHeight="1" x14ac:dyDescent="0.25">
      <c r="B107" s="160"/>
      <c r="C107" s="161"/>
      <c r="D107" s="254" t="s">
        <v>111</v>
      </c>
      <c r="E107" s="420"/>
      <c r="F107" s="421"/>
      <c r="G107" s="258"/>
      <c r="H107" s="259">
        <f>SUM(H105:H106)</f>
        <v>8500.0499999999993</v>
      </c>
      <c r="I107" s="259">
        <f t="shared" ref="I107:AG107" si="62">SUM(I105:I105)</f>
        <v>0</v>
      </c>
      <c r="J107" s="259">
        <f t="shared" si="62"/>
        <v>0</v>
      </c>
      <c r="K107" s="259">
        <f t="shared" si="62"/>
        <v>0</v>
      </c>
      <c r="L107" s="259">
        <f t="shared" si="62"/>
        <v>0</v>
      </c>
      <c r="M107" s="259">
        <f t="shared" si="62"/>
        <v>0</v>
      </c>
      <c r="N107" s="259">
        <f t="shared" si="62"/>
        <v>0</v>
      </c>
      <c r="O107" s="259">
        <f>SUM(O105:O106)</f>
        <v>8500.0499999999993</v>
      </c>
      <c r="P107" s="259">
        <f t="shared" si="62"/>
        <v>0</v>
      </c>
      <c r="Q107" s="259">
        <f t="shared" si="62"/>
        <v>0</v>
      </c>
      <c r="R107" s="259">
        <f t="shared" si="62"/>
        <v>6000</v>
      </c>
      <c r="S107" s="259">
        <f t="shared" si="62"/>
        <v>5514.76</v>
      </c>
      <c r="T107" s="259">
        <f t="shared" si="62"/>
        <v>485.23999999999978</v>
      </c>
      <c r="U107" s="259">
        <f t="shared" si="62"/>
        <v>0.1792</v>
      </c>
      <c r="V107" s="259">
        <f t="shared" si="62"/>
        <v>86.955007999999964</v>
      </c>
      <c r="W107" s="259">
        <f t="shared" si="62"/>
        <v>504.3</v>
      </c>
      <c r="X107" s="259">
        <f t="shared" si="62"/>
        <v>591.25500799999998</v>
      </c>
      <c r="Y107" s="259">
        <f t="shared" si="62"/>
        <v>0</v>
      </c>
      <c r="Z107" s="259">
        <f t="shared" si="62"/>
        <v>591.26</v>
      </c>
      <c r="AA107" s="259"/>
      <c r="AB107" s="259">
        <f>SUM(AB105:AB106)</f>
        <v>14.55</v>
      </c>
      <c r="AC107" s="259">
        <f>SUM(AC105:AC106)</f>
        <v>591.26</v>
      </c>
      <c r="AD107" s="259">
        <f t="shared" si="62"/>
        <v>0</v>
      </c>
      <c r="AE107" s="259">
        <f t="shared" si="62"/>
        <v>0</v>
      </c>
      <c r="AF107" s="259">
        <f t="shared" si="62"/>
        <v>0</v>
      </c>
      <c r="AG107" s="259">
        <f t="shared" si="62"/>
        <v>0</v>
      </c>
      <c r="AH107" s="259">
        <f>SUM(AH105:AH106)</f>
        <v>591.26</v>
      </c>
      <c r="AI107" s="259">
        <f>SUM(AI105:AI106)</f>
        <v>7923.34</v>
      </c>
      <c r="AJ107" s="160"/>
      <c r="AK107" s="255"/>
      <c r="AL107" s="261">
        <f>O107+AB107-AH107</f>
        <v>7923.3399999999983</v>
      </c>
      <c r="AN107" s="103"/>
    </row>
    <row r="108" spans="2:40" ht="20.25" customHeight="1" x14ac:dyDescent="0.25">
      <c r="B108" s="437" t="s">
        <v>226</v>
      </c>
      <c r="C108" s="437"/>
      <c r="D108" s="437"/>
      <c r="E108" s="437"/>
      <c r="F108" s="437"/>
      <c r="G108" s="437"/>
      <c r="H108" s="437"/>
      <c r="I108" s="437"/>
      <c r="J108" s="437"/>
      <c r="K108" s="437"/>
      <c r="L108" s="437"/>
      <c r="M108" s="437"/>
      <c r="N108" s="437"/>
      <c r="O108" s="437"/>
      <c r="P108" s="437"/>
      <c r="Q108" s="437"/>
      <c r="R108" s="437"/>
      <c r="S108" s="437"/>
      <c r="T108" s="437"/>
      <c r="U108" s="437"/>
      <c r="V108" s="437"/>
      <c r="W108" s="437"/>
      <c r="X108" s="437"/>
      <c r="Y108" s="437"/>
      <c r="Z108" s="437"/>
      <c r="AA108" s="437"/>
      <c r="AB108" s="437"/>
      <c r="AC108" s="437"/>
      <c r="AD108" s="437"/>
      <c r="AE108" s="437"/>
      <c r="AF108" s="437"/>
      <c r="AG108" s="437"/>
      <c r="AH108" s="437"/>
      <c r="AI108" s="437"/>
      <c r="AJ108" s="437"/>
      <c r="AK108" s="255"/>
      <c r="AL108" s="255"/>
      <c r="AN108" s="103"/>
    </row>
    <row r="109" spans="2:40" s="103" customFormat="1" x14ac:dyDescent="0.25">
      <c r="B109" s="160">
        <v>55</v>
      </c>
      <c r="C109" s="161" t="s">
        <v>432</v>
      </c>
      <c r="D109" s="161" t="s">
        <v>243</v>
      </c>
      <c r="E109" s="211"/>
      <c r="F109" s="161">
        <v>15</v>
      </c>
      <c r="G109" s="257">
        <v>303</v>
      </c>
      <c r="H109" s="241">
        <f>F109*G109</f>
        <v>4545</v>
      </c>
      <c r="I109" s="241">
        <v>0</v>
      </c>
      <c r="J109" s="241">
        <v>0</v>
      </c>
      <c r="K109" s="241">
        <v>0</v>
      </c>
      <c r="L109" s="241">
        <v>0</v>
      </c>
      <c r="M109" s="241">
        <v>0</v>
      </c>
      <c r="N109" s="241">
        <v>0</v>
      </c>
      <c r="O109" s="241">
        <f>SUM(H109:N109)</f>
        <v>4545</v>
      </c>
      <c r="P109" s="241"/>
      <c r="Q109" s="241">
        <v>0</v>
      </c>
      <c r="R109" s="241">
        <f>H109+I109+J109+K109+M109+Q109</f>
        <v>4545</v>
      </c>
      <c r="S109" s="241">
        <f>VLOOKUP(R109,TARIFA1,1)</f>
        <v>2699.41</v>
      </c>
      <c r="T109" s="241">
        <f>R109-S109</f>
        <v>1845.5900000000001</v>
      </c>
      <c r="U109" s="269">
        <f>VLOOKUP(R109,TARIFA1,3)</f>
        <v>0.10879999999999999</v>
      </c>
      <c r="V109" s="241">
        <f>T109*U109</f>
        <v>200.80019200000001</v>
      </c>
      <c r="W109" s="241">
        <f>VLOOKUP(R109,TARIFA1,2)</f>
        <v>158.55000000000001</v>
      </c>
      <c r="X109" s="241">
        <f>V109+W109</f>
        <v>359.35019199999999</v>
      </c>
      <c r="Y109" s="241">
        <f>VLOOKUP(R109,Credito1,2)</f>
        <v>0</v>
      </c>
      <c r="Z109" s="241">
        <f>ROUND(X109-Y109,2)</f>
        <v>359.35</v>
      </c>
      <c r="AA109" s="241"/>
      <c r="AB109" s="241">
        <f>-IF(Z109&gt;0,0,Z109)</f>
        <v>0</v>
      </c>
      <c r="AC109" s="241">
        <f>IF(Z109&lt;0,0,Z109)</f>
        <v>359.35</v>
      </c>
      <c r="AD109" s="241">
        <v>0</v>
      </c>
      <c r="AE109" s="241">
        <v>0</v>
      </c>
      <c r="AF109" s="241">
        <v>0</v>
      </c>
      <c r="AG109" s="241">
        <v>0</v>
      </c>
      <c r="AH109" s="241">
        <f>SUM(AC109:AG109)</f>
        <v>359.35</v>
      </c>
      <c r="AI109" s="241">
        <f>O109+AB109-AH109</f>
        <v>4185.6499999999996</v>
      </c>
      <c r="AJ109" s="160"/>
      <c r="AK109" s="255"/>
      <c r="AL109" s="255"/>
    </row>
    <row r="110" spans="2:40" ht="21.75" customHeight="1" x14ac:dyDescent="0.25">
      <c r="B110" s="160"/>
      <c r="C110" s="161"/>
      <c r="D110" s="254" t="s">
        <v>111</v>
      </c>
      <c r="E110" s="420"/>
      <c r="F110" s="421"/>
      <c r="G110" s="258"/>
      <c r="H110" s="259">
        <f>SUM(H109:H109)</f>
        <v>4545</v>
      </c>
      <c r="I110" s="259">
        <f t="shared" ref="I110:AG110" si="63">SUM(I108:I108)</f>
        <v>0</v>
      </c>
      <c r="J110" s="259">
        <f t="shared" si="63"/>
        <v>0</v>
      </c>
      <c r="K110" s="259">
        <f t="shared" si="63"/>
        <v>0</v>
      </c>
      <c r="L110" s="259">
        <f t="shared" si="63"/>
        <v>0</v>
      </c>
      <c r="M110" s="259">
        <f t="shared" si="63"/>
        <v>0</v>
      </c>
      <c r="N110" s="259">
        <f t="shared" si="63"/>
        <v>0</v>
      </c>
      <c r="O110" s="259">
        <f>SUM(O109:O109)</f>
        <v>4545</v>
      </c>
      <c r="P110" s="259">
        <f t="shared" si="63"/>
        <v>0</v>
      </c>
      <c r="Q110" s="259">
        <f t="shared" si="63"/>
        <v>0</v>
      </c>
      <c r="R110" s="259">
        <f t="shared" si="63"/>
        <v>0</v>
      </c>
      <c r="S110" s="259">
        <f t="shared" si="63"/>
        <v>0</v>
      </c>
      <c r="T110" s="259">
        <f t="shared" si="63"/>
        <v>0</v>
      </c>
      <c r="U110" s="259">
        <f t="shared" si="63"/>
        <v>0</v>
      </c>
      <c r="V110" s="259">
        <f t="shared" si="63"/>
        <v>0</v>
      </c>
      <c r="W110" s="259">
        <f t="shared" si="63"/>
        <v>0</v>
      </c>
      <c r="X110" s="259">
        <f t="shared" si="63"/>
        <v>0</v>
      </c>
      <c r="Y110" s="259">
        <f t="shared" si="63"/>
        <v>0</v>
      </c>
      <c r="Z110" s="259">
        <f t="shared" si="63"/>
        <v>0</v>
      </c>
      <c r="AA110" s="259"/>
      <c r="AB110" s="259">
        <f>SUM(AB109:AB109)</f>
        <v>0</v>
      </c>
      <c r="AC110" s="259">
        <f>SUM(AC109:AC109)</f>
        <v>359.35</v>
      </c>
      <c r="AD110" s="259">
        <f t="shared" si="63"/>
        <v>0</v>
      </c>
      <c r="AE110" s="259">
        <f t="shared" si="63"/>
        <v>0</v>
      </c>
      <c r="AF110" s="259">
        <f t="shared" si="63"/>
        <v>0</v>
      </c>
      <c r="AG110" s="259">
        <f t="shared" si="63"/>
        <v>0</v>
      </c>
      <c r="AH110" s="259">
        <f>SUM(AH109:AH109)</f>
        <v>359.35</v>
      </c>
      <c r="AI110" s="259">
        <f>SUM(AI109)</f>
        <v>4185.6499999999996</v>
      </c>
      <c r="AJ110" s="160"/>
      <c r="AK110" s="255"/>
      <c r="AL110" s="261">
        <f>O110+AB110-AH110</f>
        <v>4185.6499999999996</v>
      </c>
      <c r="AN110" s="103"/>
    </row>
    <row r="111" spans="2:40" s="139" customFormat="1" ht="21.75" customHeight="1" x14ac:dyDescent="0.25">
      <c r="B111" s="425"/>
      <c r="C111" s="425"/>
      <c r="D111" s="425"/>
      <c r="E111" s="425"/>
      <c r="F111" s="425"/>
      <c r="G111" s="425"/>
      <c r="H111" s="425"/>
      <c r="I111" s="425"/>
      <c r="J111" s="425"/>
      <c r="K111" s="425"/>
      <c r="L111" s="425"/>
      <c r="M111" s="425"/>
      <c r="N111" s="425"/>
      <c r="O111" s="425"/>
      <c r="P111" s="425"/>
      <c r="Q111" s="425"/>
      <c r="R111" s="425"/>
      <c r="S111" s="425"/>
      <c r="T111" s="425"/>
      <c r="U111" s="425"/>
      <c r="V111" s="425"/>
      <c r="W111" s="425"/>
      <c r="X111" s="425"/>
      <c r="Y111" s="425"/>
      <c r="Z111" s="425"/>
      <c r="AA111" s="425"/>
      <c r="AB111" s="425"/>
      <c r="AC111" s="425"/>
      <c r="AD111" s="425"/>
      <c r="AE111" s="425"/>
      <c r="AF111" s="425"/>
      <c r="AG111" s="425"/>
      <c r="AH111" s="425"/>
      <c r="AI111" s="425"/>
      <c r="AJ111" s="425"/>
      <c r="AK111" s="255"/>
      <c r="AL111" s="255"/>
    </row>
    <row r="112" spans="2:40" ht="24" customHeight="1" x14ac:dyDescent="0.25">
      <c r="B112" s="436" t="s">
        <v>68</v>
      </c>
      <c r="C112" s="436"/>
      <c r="D112" s="436"/>
      <c r="E112" s="436"/>
      <c r="F112" s="436"/>
      <c r="G112" s="436"/>
      <c r="H112" s="259">
        <f t="shared" ref="H112:AH112" si="64">+H21+H24+H28+H34+H38+H45+H49+H53+H57+H60+H64+H72+H75+H79+H84+H88+H91+H95+H100+H103+H107+H110</f>
        <v>230734.19999999995</v>
      </c>
      <c r="I112" s="259">
        <f t="shared" si="64"/>
        <v>0</v>
      </c>
      <c r="J112" s="259">
        <f t="shared" si="64"/>
        <v>0</v>
      </c>
      <c r="K112" s="259">
        <f t="shared" si="64"/>
        <v>0</v>
      </c>
      <c r="L112" s="259">
        <f t="shared" si="64"/>
        <v>0</v>
      </c>
      <c r="M112" s="259">
        <f t="shared" si="64"/>
        <v>0</v>
      </c>
      <c r="N112" s="259">
        <f t="shared" si="64"/>
        <v>0</v>
      </c>
      <c r="O112" s="259">
        <f t="shared" si="64"/>
        <v>230734.19999999995</v>
      </c>
      <c r="P112" s="259">
        <f t="shared" si="64"/>
        <v>0</v>
      </c>
      <c r="Q112" s="259">
        <f t="shared" si="64"/>
        <v>0</v>
      </c>
      <c r="R112" s="259">
        <f t="shared" si="64"/>
        <v>204655.19999999995</v>
      </c>
      <c r="S112" s="259">
        <f t="shared" si="64"/>
        <v>129144.03</v>
      </c>
      <c r="T112" s="259">
        <f t="shared" si="64"/>
        <v>75511.17</v>
      </c>
      <c r="U112" s="259">
        <f t="shared" si="64"/>
        <v>5.2031999999999989</v>
      </c>
      <c r="V112" s="259">
        <f t="shared" si="64"/>
        <v>7889.3766479999986</v>
      </c>
      <c r="W112" s="259">
        <f t="shared" si="64"/>
        <v>11487.45</v>
      </c>
      <c r="X112" s="259">
        <f t="shared" si="64"/>
        <v>19376.826647999998</v>
      </c>
      <c r="Y112" s="259">
        <f t="shared" si="64"/>
        <v>3877.0499999999997</v>
      </c>
      <c r="Z112" s="259">
        <f t="shared" si="64"/>
        <v>15499.730000000001</v>
      </c>
      <c r="AA112" s="259">
        <f t="shared" si="64"/>
        <v>0</v>
      </c>
      <c r="AB112" s="259">
        <f t="shared" si="64"/>
        <v>732.32999999999981</v>
      </c>
      <c r="AC112" s="259">
        <f t="shared" si="64"/>
        <v>18252.839999999997</v>
      </c>
      <c r="AD112" s="259">
        <f t="shared" si="64"/>
        <v>0</v>
      </c>
      <c r="AE112" s="259">
        <f t="shared" si="64"/>
        <v>0</v>
      </c>
      <c r="AF112" s="259">
        <f t="shared" si="64"/>
        <v>0</v>
      </c>
      <c r="AG112" s="259">
        <f t="shared" si="64"/>
        <v>0</v>
      </c>
      <c r="AH112" s="259">
        <f t="shared" si="64"/>
        <v>18252.839999999997</v>
      </c>
      <c r="AI112" s="259">
        <f>+AI21+AI24+AI28+AI34+AI38+AI45+AI49+AI53+AI57+AI60+AI64+AI72+AI75+AI79+AI84+AI88+AI91+AI95+AI100+AI103+AI107+AI110</f>
        <v>213213.68999999994</v>
      </c>
      <c r="AJ112" s="160"/>
      <c r="AK112" s="255"/>
      <c r="AL112" s="261">
        <f>O112+AB112-AH112</f>
        <v>213213.68999999994</v>
      </c>
      <c r="AN112" s="103"/>
    </row>
    <row r="113" spans="2:40" ht="24" customHeight="1" x14ac:dyDescent="0.25">
      <c r="B113" s="202"/>
      <c r="C113" s="202"/>
      <c r="D113" s="202"/>
      <c r="E113" s="202"/>
      <c r="F113" s="202"/>
      <c r="G113" s="202"/>
      <c r="H113" s="270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55"/>
      <c r="AL113" s="255"/>
      <c r="AN113" s="103"/>
    </row>
    <row r="114" spans="2:40" x14ac:dyDescent="0.25"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55"/>
      <c r="AL114" s="255"/>
    </row>
    <row r="115" spans="2:40" x14ac:dyDescent="0.25"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55"/>
      <c r="AL115" s="255"/>
    </row>
    <row r="116" spans="2:40" ht="13" thickBot="1" x14ac:dyDescent="0.3">
      <c r="B116" s="202"/>
      <c r="C116" s="223"/>
      <c r="D116" s="223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23"/>
      <c r="AC116" s="223"/>
      <c r="AD116" s="202"/>
      <c r="AE116" s="202"/>
      <c r="AF116" s="202"/>
      <c r="AG116" s="223"/>
      <c r="AH116" s="223"/>
      <c r="AI116" s="223"/>
      <c r="AJ116" s="223"/>
      <c r="AK116" s="255"/>
      <c r="AL116" s="255"/>
    </row>
    <row r="117" spans="2:40" ht="25.5" customHeight="1" x14ac:dyDescent="0.25">
      <c r="B117" s="202"/>
      <c r="C117" s="417" t="s">
        <v>283</v>
      </c>
      <c r="D117" s="417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405" t="s">
        <v>284</v>
      </c>
      <c r="AC117" s="405"/>
      <c r="AD117" s="405"/>
      <c r="AE117" s="405"/>
      <c r="AF117" s="405"/>
      <c r="AG117" s="405"/>
      <c r="AH117" s="405"/>
      <c r="AI117" s="405"/>
      <c r="AJ117" s="405"/>
      <c r="AK117" s="255"/>
      <c r="AL117" s="255"/>
    </row>
    <row r="118" spans="2:40" ht="25.5" customHeight="1" x14ac:dyDescent="0.25">
      <c r="B118" s="202"/>
      <c r="C118" s="406" t="s">
        <v>103</v>
      </c>
      <c r="D118" s="406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406" t="s">
        <v>104</v>
      </c>
      <c r="AC118" s="406"/>
      <c r="AD118" s="406"/>
      <c r="AE118" s="406"/>
      <c r="AF118" s="406"/>
      <c r="AG118" s="406"/>
      <c r="AH118" s="406"/>
      <c r="AI118" s="406"/>
      <c r="AJ118" s="406"/>
      <c r="AK118" s="255"/>
      <c r="AL118" s="255"/>
    </row>
    <row r="119" spans="2:40" x14ac:dyDescent="0.25">
      <c r="AI119" s="108"/>
    </row>
    <row r="120" spans="2:40" x14ac:dyDescent="0.25">
      <c r="AH120" s="112"/>
      <c r="AI120" s="116"/>
    </row>
    <row r="121" spans="2:40" x14ac:dyDescent="0.25">
      <c r="AH121" s="112"/>
      <c r="AI121" s="116"/>
    </row>
    <row r="122" spans="2:40" x14ac:dyDescent="0.25">
      <c r="AH122" s="116"/>
      <c r="AI122" s="116"/>
    </row>
    <row r="123" spans="2:40" x14ac:dyDescent="0.25">
      <c r="AH123" s="108"/>
      <c r="AI123" s="108"/>
    </row>
    <row r="124" spans="2:40" x14ac:dyDescent="0.25">
      <c r="AI124" s="108"/>
    </row>
    <row r="125" spans="2:40" x14ac:dyDescent="0.25">
      <c r="AI125" s="108"/>
    </row>
    <row r="126" spans="2:40" x14ac:dyDescent="0.25">
      <c r="AC126" s="103"/>
      <c r="AI126" s="103"/>
    </row>
    <row r="127" spans="2:40" x14ac:dyDescent="0.25">
      <c r="AC127" s="103"/>
      <c r="AH127" s="108"/>
    </row>
    <row r="130" spans="35:35" x14ac:dyDescent="0.25">
      <c r="AI130" s="108"/>
    </row>
  </sheetData>
  <mergeCells count="62">
    <mergeCell ref="C7:AJ7"/>
    <mergeCell ref="B8:AI8"/>
    <mergeCell ref="H10:O10"/>
    <mergeCell ref="S10:X10"/>
    <mergeCell ref="B112:G112"/>
    <mergeCell ref="B13:AJ13"/>
    <mergeCell ref="B50:AJ50"/>
    <mergeCell ref="B61:AJ61"/>
    <mergeCell ref="B73:AJ73"/>
    <mergeCell ref="B104:AJ104"/>
    <mergeCell ref="B108:AJ108"/>
    <mergeCell ref="B89:AJ89"/>
    <mergeCell ref="B92:AJ92"/>
    <mergeCell ref="B101:AJ101"/>
    <mergeCell ref="E91:F91"/>
    <mergeCell ref="B10:E10"/>
    <mergeCell ref="AH11:AH12"/>
    <mergeCell ref="AC11:AC12"/>
    <mergeCell ref="AB10:AB12"/>
    <mergeCell ref="AC10:AI10"/>
    <mergeCell ref="AI11:AI12"/>
    <mergeCell ref="D11:D12"/>
    <mergeCell ref="C11:C12"/>
    <mergeCell ref="B11:B12"/>
    <mergeCell ref="E72:F72"/>
    <mergeCell ref="E110:F110"/>
    <mergeCell ref="E107:F107"/>
    <mergeCell ref="E100:F100"/>
    <mergeCell ref="E79:F79"/>
    <mergeCell ref="E75:F75"/>
    <mergeCell ref="B111:AJ111"/>
    <mergeCell ref="B76:AJ76"/>
    <mergeCell ref="AJ10:AJ12"/>
    <mergeCell ref="B9:AJ9"/>
    <mergeCell ref="C117:D117"/>
    <mergeCell ref="E28:F28"/>
    <mergeCell ref="E21:F21"/>
    <mergeCell ref="E11:E12"/>
    <mergeCell ref="B22:AJ22"/>
    <mergeCell ref="B25:AJ25"/>
    <mergeCell ref="B29:AJ29"/>
    <mergeCell ref="B54:AJ54"/>
    <mergeCell ref="B58:AJ58"/>
    <mergeCell ref="B80:AJ80"/>
    <mergeCell ref="E88:F88"/>
    <mergeCell ref="E84:F84"/>
    <mergeCell ref="AB117:AJ117"/>
    <mergeCell ref="AB118:AJ118"/>
    <mergeCell ref="C118:D118"/>
    <mergeCell ref="E38:F38"/>
    <mergeCell ref="E34:F34"/>
    <mergeCell ref="E60:F60"/>
    <mergeCell ref="E57:F57"/>
    <mergeCell ref="E53:F53"/>
    <mergeCell ref="E49:F49"/>
    <mergeCell ref="E45:F45"/>
    <mergeCell ref="B65:AJ65"/>
    <mergeCell ref="B96:AJ96"/>
    <mergeCell ref="B85:AJ85"/>
    <mergeCell ref="B35:AJ35"/>
    <mergeCell ref="B39:AJ39"/>
    <mergeCell ref="B46:AJ46"/>
  </mergeCells>
  <pageMargins left="0.62992125984251968" right="0.6692913385826772" top="0.94488188976377963" bottom="0.82677165354330717" header="0.59055118110236227" footer="0.31496062992125984"/>
  <pageSetup scale="7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S181"/>
  <sheetViews>
    <sheetView showGridLines="0" topLeftCell="B160" zoomScale="84" zoomScaleNormal="84" workbookViewId="0">
      <selection activeCell="E164" sqref="E164"/>
    </sheetView>
  </sheetViews>
  <sheetFormatPr baseColWidth="10" defaultColWidth="11.453125" defaultRowHeight="12.5" x14ac:dyDescent="0.25"/>
  <cols>
    <col min="1" max="1" width="1.26953125" style="100" customWidth="1"/>
    <col min="2" max="2" width="5.26953125" style="100" customWidth="1"/>
    <col min="3" max="3" width="34.1796875" style="127" customWidth="1"/>
    <col min="4" max="4" width="18.81640625" style="100" customWidth="1"/>
    <col min="5" max="5" width="23.54296875" style="100" customWidth="1"/>
    <col min="6" max="6" width="6.54296875" style="100" hidden="1" customWidth="1"/>
    <col min="7" max="7" width="8.7265625" style="100" hidden="1" customWidth="1"/>
    <col min="8" max="8" width="16.1796875" style="100" customWidth="1"/>
    <col min="9" max="9" width="11.81640625" style="100" hidden="1" customWidth="1"/>
    <col min="10" max="10" width="12.1796875" style="103" hidden="1" customWidth="1"/>
    <col min="11" max="11" width="11.54296875" style="100" hidden="1" customWidth="1"/>
    <col min="12" max="12" width="12" style="103" hidden="1" customWidth="1"/>
    <col min="13" max="13" width="8.453125" style="100" hidden="1" customWidth="1"/>
    <col min="14" max="14" width="7.26953125" style="103" hidden="1" customWidth="1"/>
    <col min="15" max="15" width="18.54296875" style="100" customWidth="1"/>
    <col min="16" max="16" width="8.7265625" style="100" hidden="1" customWidth="1"/>
    <col min="17" max="17" width="13.1796875" style="103" hidden="1" customWidth="1"/>
    <col min="18" max="18" width="14.453125" style="100" hidden="1" customWidth="1"/>
    <col min="19" max="19" width="13.54296875" style="100" hidden="1" customWidth="1"/>
    <col min="20" max="20" width="14.453125" style="100" hidden="1" customWidth="1"/>
    <col min="21" max="22" width="13.1796875" style="100" hidden="1" customWidth="1"/>
    <col min="23" max="23" width="12" style="100" hidden="1" customWidth="1"/>
    <col min="24" max="24" width="13.453125" style="100" hidden="1" customWidth="1"/>
    <col min="25" max="25" width="13.1796875" style="100" hidden="1" customWidth="1"/>
    <col min="26" max="26" width="12.81640625" style="100" hidden="1" customWidth="1"/>
    <col min="27" max="27" width="7.26953125" style="100" hidden="1" customWidth="1"/>
    <col min="28" max="28" width="13.26953125" style="100" customWidth="1"/>
    <col min="29" max="29" width="12.816406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1.54296875" style="100" hidden="1" customWidth="1"/>
    <col min="34" max="34" width="13.26953125" style="100" customWidth="1"/>
    <col min="35" max="35" width="16.7265625" style="100" customWidth="1"/>
    <col min="36" max="36" width="31.1796875" style="100" customWidth="1"/>
    <col min="37" max="37" width="11.453125" style="100"/>
    <col min="38" max="38" width="13.81640625" style="100" customWidth="1"/>
    <col min="39" max="16384" width="11.453125" style="100"/>
  </cols>
  <sheetData>
    <row r="2" spans="1:45" x14ac:dyDescent="0.25">
      <c r="B2" s="255"/>
      <c r="C2" s="202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</row>
    <row r="3" spans="1:45" x14ac:dyDescent="0.25">
      <c r="B3" s="255"/>
      <c r="C3" s="202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</row>
    <row r="4" spans="1:45" x14ac:dyDescent="0.25">
      <c r="B4" s="255"/>
      <c r="C4" s="202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</row>
    <row r="5" spans="1:45" x14ac:dyDescent="0.25">
      <c r="B5" s="255"/>
      <c r="C5" s="202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</row>
    <row r="6" spans="1:45" x14ac:dyDescent="0.25">
      <c r="B6" s="255"/>
      <c r="C6" s="202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</row>
    <row r="7" spans="1:45" ht="30" customHeight="1" x14ac:dyDescent="0.25">
      <c r="B7" s="442" t="s">
        <v>139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255"/>
    </row>
    <row r="8" spans="1:45" s="99" customFormat="1" ht="13.5" x14ac:dyDescent="0.25">
      <c r="A8" s="100"/>
      <c r="B8" s="449" t="str">
        <f>REGIDORES!B11</f>
        <v>NOMINA DEL 01 AL 15 DE DICIEMBRE DEL 2021</v>
      </c>
      <c r="C8" s="449"/>
      <c r="D8" s="449"/>
      <c r="E8" s="449"/>
      <c r="F8" s="449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256"/>
    </row>
    <row r="9" spans="1:45" s="144" customFormat="1" ht="20.25" customHeight="1" x14ac:dyDescent="0.25">
      <c r="A9" s="127"/>
      <c r="B9" s="427" t="s">
        <v>287</v>
      </c>
      <c r="C9" s="427" t="s">
        <v>43</v>
      </c>
      <c r="D9" s="427" t="s">
        <v>101</v>
      </c>
      <c r="E9" s="427" t="s">
        <v>216</v>
      </c>
      <c r="F9" s="427" t="s">
        <v>322</v>
      </c>
      <c r="G9" s="427" t="s">
        <v>323</v>
      </c>
      <c r="H9" s="436" t="s">
        <v>2</v>
      </c>
      <c r="I9" s="436"/>
      <c r="J9" s="436"/>
      <c r="K9" s="436"/>
      <c r="L9" s="436"/>
      <c r="M9" s="436"/>
      <c r="N9" s="436"/>
      <c r="O9" s="436"/>
      <c r="P9" s="168"/>
      <c r="Q9" s="160" t="s">
        <v>48</v>
      </c>
      <c r="R9" s="168"/>
      <c r="S9" s="436" t="s">
        <v>30</v>
      </c>
      <c r="T9" s="436"/>
      <c r="U9" s="436"/>
      <c r="V9" s="436"/>
      <c r="W9" s="436"/>
      <c r="X9" s="436"/>
      <c r="Y9" s="168" t="s">
        <v>286</v>
      </c>
      <c r="Z9" s="168" t="s">
        <v>31</v>
      </c>
      <c r="AA9" s="168"/>
      <c r="AB9" s="427" t="s">
        <v>204</v>
      </c>
      <c r="AC9" s="436" t="s">
        <v>3</v>
      </c>
      <c r="AD9" s="436"/>
      <c r="AE9" s="436"/>
      <c r="AF9" s="436"/>
      <c r="AG9" s="436"/>
      <c r="AH9" s="436"/>
      <c r="AI9" s="427" t="s">
        <v>320</v>
      </c>
      <c r="AJ9" s="427" t="s">
        <v>100</v>
      </c>
      <c r="AK9" s="279"/>
      <c r="AR9" s="145"/>
      <c r="AS9" s="146" t="s">
        <v>207</v>
      </c>
    </row>
    <row r="10" spans="1:45" s="144" customFormat="1" ht="13" x14ac:dyDescent="0.25">
      <c r="A10" s="127"/>
      <c r="B10" s="428"/>
      <c r="C10" s="428"/>
      <c r="D10" s="428"/>
      <c r="E10" s="428"/>
      <c r="F10" s="428"/>
      <c r="G10" s="429"/>
      <c r="H10" s="427" t="s">
        <v>203</v>
      </c>
      <c r="I10" s="168" t="s">
        <v>46</v>
      </c>
      <c r="J10" s="160" t="s">
        <v>46</v>
      </c>
      <c r="K10" s="168" t="s">
        <v>73</v>
      </c>
      <c r="L10" s="160" t="s">
        <v>48</v>
      </c>
      <c r="M10" s="168" t="s">
        <v>50</v>
      </c>
      <c r="N10" s="160" t="s">
        <v>50</v>
      </c>
      <c r="O10" s="427" t="s">
        <v>326</v>
      </c>
      <c r="P10" s="168"/>
      <c r="Q10" s="160" t="s">
        <v>49</v>
      </c>
      <c r="R10" s="168" t="s">
        <v>56</v>
      </c>
      <c r="S10" s="168" t="s">
        <v>33</v>
      </c>
      <c r="T10" s="168" t="s">
        <v>58</v>
      </c>
      <c r="U10" s="168" t="s">
        <v>60</v>
      </c>
      <c r="V10" s="168" t="s">
        <v>61</v>
      </c>
      <c r="W10" s="168" t="s">
        <v>35</v>
      </c>
      <c r="X10" s="168" t="s">
        <v>31</v>
      </c>
      <c r="Y10" s="168" t="s">
        <v>64</v>
      </c>
      <c r="Z10" s="168" t="s">
        <v>65</v>
      </c>
      <c r="AA10" s="168"/>
      <c r="AB10" s="428"/>
      <c r="AC10" s="427" t="s">
        <v>4</v>
      </c>
      <c r="AD10" s="168" t="s">
        <v>5</v>
      </c>
      <c r="AE10" s="168" t="s">
        <v>286</v>
      </c>
      <c r="AF10" s="168" t="s">
        <v>74</v>
      </c>
      <c r="AG10" s="427" t="s">
        <v>99</v>
      </c>
      <c r="AH10" s="427" t="s">
        <v>327</v>
      </c>
      <c r="AI10" s="428"/>
      <c r="AJ10" s="428"/>
      <c r="AK10" s="279"/>
      <c r="AR10" s="147"/>
      <c r="AS10" s="146" t="s">
        <v>208</v>
      </c>
    </row>
    <row r="11" spans="1:45" s="144" customFormat="1" ht="12" customHeight="1" x14ac:dyDescent="0.25">
      <c r="A11" s="127"/>
      <c r="B11" s="429"/>
      <c r="C11" s="429"/>
      <c r="D11" s="429"/>
      <c r="E11" s="429"/>
      <c r="F11" s="429"/>
      <c r="G11" s="168"/>
      <c r="H11" s="429"/>
      <c r="I11" s="168" t="s">
        <v>76</v>
      </c>
      <c r="J11" s="160" t="s">
        <v>47</v>
      </c>
      <c r="K11" s="168"/>
      <c r="L11" s="160" t="s">
        <v>49</v>
      </c>
      <c r="M11" s="168" t="s">
        <v>51</v>
      </c>
      <c r="N11" s="160" t="s">
        <v>52</v>
      </c>
      <c r="O11" s="429"/>
      <c r="P11" s="168"/>
      <c r="Q11" s="160" t="s">
        <v>66</v>
      </c>
      <c r="R11" s="168" t="s">
        <v>57</v>
      </c>
      <c r="S11" s="168" t="s">
        <v>34</v>
      </c>
      <c r="T11" s="168" t="s">
        <v>59</v>
      </c>
      <c r="U11" s="168" t="s">
        <v>59</v>
      </c>
      <c r="V11" s="168" t="s">
        <v>62</v>
      </c>
      <c r="W11" s="168" t="s">
        <v>36</v>
      </c>
      <c r="X11" s="168" t="s">
        <v>63</v>
      </c>
      <c r="Y11" s="168" t="s">
        <v>40</v>
      </c>
      <c r="Z11" s="168" t="s">
        <v>94</v>
      </c>
      <c r="AA11" s="168"/>
      <c r="AB11" s="429"/>
      <c r="AC11" s="429"/>
      <c r="AD11" s="168"/>
      <c r="AE11" s="168" t="s">
        <v>72</v>
      </c>
      <c r="AF11" s="168" t="s">
        <v>75</v>
      </c>
      <c r="AG11" s="429"/>
      <c r="AH11" s="429"/>
      <c r="AI11" s="429"/>
      <c r="AJ11" s="429"/>
      <c r="AK11" s="279"/>
      <c r="AN11" s="146"/>
    </row>
    <row r="12" spans="1:45" s="99" customFormat="1" ht="24" customHeight="1" x14ac:dyDescent="0.25">
      <c r="A12" s="100"/>
      <c r="B12" s="426" t="s">
        <v>108</v>
      </c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256"/>
    </row>
    <row r="13" spans="1:45" s="105" customFormat="1" ht="24" customHeight="1" x14ac:dyDescent="0.25">
      <c r="A13" s="103"/>
      <c r="B13" s="171">
        <v>1</v>
      </c>
      <c r="C13" s="161" t="s">
        <v>273</v>
      </c>
      <c r="D13" s="191" t="s">
        <v>177</v>
      </c>
      <c r="E13" s="191"/>
      <c r="F13" s="191">
        <v>15</v>
      </c>
      <c r="G13" s="204">
        <v>400</v>
      </c>
      <c r="H13" s="205">
        <f t="shared" ref="H13:H21" si="0">F13*G13</f>
        <v>6000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5">
        <f>SUM(H13:N13)</f>
        <v>6000</v>
      </c>
      <c r="P13" s="207"/>
      <c r="Q13" s="205">
        <f t="shared" ref="Q13:Q21" si="1">IF(G13=47.16,0,IF(G13&gt;47.16,L13*0.5,0))</f>
        <v>0</v>
      </c>
      <c r="R13" s="205">
        <f>H13+I13+J13+M13+Q13+K13</f>
        <v>6000</v>
      </c>
      <c r="S13" s="205">
        <f t="shared" ref="S13:S21" si="2">VLOOKUP(R13,TARIFA1,1)</f>
        <v>5514.76</v>
      </c>
      <c r="T13" s="205">
        <f>R13-S13</f>
        <v>485.23999999999978</v>
      </c>
      <c r="U13" s="208">
        <f t="shared" ref="U13:U21" si="3">VLOOKUP(R13,TARIFA1,3)</f>
        <v>0.1792</v>
      </c>
      <c r="V13" s="205">
        <f>T13*U13</f>
        <v>86.955007999999964</v>
      </c>
      <c r="W13" s="205">
        <f t="shared" ref="W13:W21" si="4">VLOOKUP(R13,TARIFA1,2)</f>
        <v>504.3</v>
      </c>
      <c r="X13" s="205">
        <f>V13+W13</f>
        <v>591.25500799999998</v>
      </c>
      <c r="Y13" s="205">
        <f t="shared" ref="Y13:Y21" si="5">VLOOKUP(R13,Credito1,2)</f>
        <v>0</v>
      </c>
      <c r="Z13" s="205">
        <f>ROUND(X13-Y13,2)</f>
        <v>591.26</v>
      </c>
      <c r="AA13" s="209"/>
      <c r="AB13" s="205">
        <f>-IF(Z13&gt;0,0,Z13)</f>
        <v>0</v>
      </c>
      <c r="AC13" s="205">
        <f>IF(Z13&lt;0,0,Z13)</f>
        <v>591.26</v>
      </c>
      <c r="AD13" s="205">
        <v>0</v>
      </c>
      <c r="AE13" s="206">
        <v>0</v>
      </c>
      <c r="AF13" s="206">
        <v>0</v>
      </c>
      <c r="AG13" s="206">
        <v>0</v>
      </c>
      <c r="AH13" s="205">
        <f>SUM(AC13:AG13)</f>
        <v>591.26</v>
      </c>
      <c r="AI13" s="205">
        <f>O13+AB13-AH13</f>
        <v>5408.74</v>
      </c>
      <c r="AJ13" s="205"/>
      <c r="AK13" s="256" t="s">
        <v>272</v>
      </c>
    </row>
    <row r="14" spans="1:45" s="99" customFormat="1" ht="24" customHeight="1" x14ac:dyDescent="0.25">
      <c r="A14" s="100"/>
      <c r="B14" s="171">
        <v>2</v>
      </c>
      <c r="C14" s="161" t="s">
        <v>486</v>
      </c>
      <c r="D14" s="191" t="s">
        <v>140</v>
      </c>
      <c r="E14" s="176"/>
      <c r="F14" s="191">
        <v>15</v>
      </c>
      <c r="G14" s="204">
        <v>166.67</v>
      </c>
      <c r="H14" s="205">
        <f t="shared" si="0"/>
        <v>2500.0499999999997</v>
      </c>
      <c r="I14" s="206">
        <v>0</v>
      </c>
      <c r="J14" s="206">
        <v>0</v>
      </c>
      <c r="K14" s="206">
        <v>0</v>
      </c>
      <c r="L14" s="206">
        <v>0</v>
      </c>
      <c r="M14" s="206">
        <v>0</v>
      </c>
      <c r="N14" s="206">
        <v>0</v>
      </c>
      <c r="O14" s="205">
        <f t="shared" ref="O14:O21" si="6">SUM(H14:N14)</f>
        <v>2500.0499999999997</v>
      </c>
      <c r="P14" s="207"/>
      <c r="Q14" s="205">
        <f t="shared" si="1"/>
        <v>0</v>
      </c>
      <c r="R14" s="205">
        <f t="shared" ref="R14:R21" si="7">H14+I14+J14+M14+Q14+K14</f>
        <v>2500.0499999999997</v>
      </c>
      <c r="S14" s="205">
        <f t="shared" si="2"/>
        <v>318.01</v>
      </c>
      <c r="T14" s="205">
        <f t="shared" ref="T14:T21" si="8">R14-S14</f>
        <v>2182.04</v>
      </c>
      <c r="U14" s="208">
        <f t="shared" si="3"/>
        <v>6.4000000000000001E-2</v>
      </c>
      <c r="V14" s="205">
        <f>T14*U14</f>
        <v>139.65056000000001</v>
      </c>
      <c r="W14" s="205">
        <f t="shared" si="4"/>
        <v>6.15</v>
      </c>
      <c r="X14" s="205">
        <f>V14+W14</f>
        <v>145.80056000000002</v>
      </c>
      <c r="Y14" s="205">
        <f t="shared" si="5"/>
        <v>160.35</v>
      </c>
      <c r="Z14" s="205">
        <f t="shared" ref="Z14:Z21" si="9">ROUND(X14-Y14,2)</f>
        <v>-14.55</v>
      </c>
      <c r="AA14" s="209"/>
      <c r="AB14" s="205">
        <f t="shared" ref="AB14:AB21" si="10">-IF(Z14&gt;0,0,Z14)</f>
        <v>14.55</v>
      </c>
      <c r="AC14" s="205">
        <f t="shared" ref="AC14:AC21" si="11">IF(Z14&lt;0,0,Z14)</f>
        <v>0</v>
      </c>
      <c r="AD14" s="205">
        <v>0</v>
      </c>
      <c r="AE14" s="206">
        <v>0</v>
      </c>
      <c r="AF14" s="206">
        <v>0</v>
      </c>
      <c r="AG14" s="206">
        <v>0</v>
      </c>
      <c r="AH14" s="205">
        <f t="shared" ref="AH14:AH21" si="12">SUM(AC14:AG14)</f>
        <v>0</v>
      </c>
      <c r="AI14" s="205">
        <f t="shared" ref="AI14:AI20" si="13">O14+AB14-AH14</f>
        <v>2514.6</v>
      </c>
      <c r="AJ14" s="205"/>
      <c r="AK14" s="256"/>
    </row>
    <row r="15" spans="1:45" s="99" customFormat="1" ht="28.5" customHeight="1" x14ac:dyDescent="0.25">
      <c r="A15" s="100"/>
      <c r="B15" s="171">
        <v>3</v>
      </c>
      <c r="C15" s="161" t="s">
        <v>531</v>
      </c>
      <c r="D15" s="161" t="s">
        <v>188</v>
      </c>
      <c r="E15" s="176"/>
      <c r="F15" s="191">
        <v>15</v>
      </c>
      <c r="G15" s="204">
        <v>271.2</v>
      </c>
      <c r="H15" s="205">
        <f t="shared" si="0"/>
        <v>4068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5">
        <f t="shared" si="6"/>
        <v>4068</v>
      </c>
      <c r="P15" s="207"/>
      <c r="Q15" s="205">
        <f t="shared" si="1"/>
        <v>0</v>
      </c>
      <c r="R15" s="205">
        <f t="shared" si="7"/>
        <v>4068</v>
      </c>
      <c r="S15" s="205">
        <f t="shared" si="2"/>
        <v>2699.41</v>
      </c>
      <c r="T15" s="205">
        <f t="shared" si="8"/>
        <v>1368.5900000000001</v>
      </c>
      <c r="U15" s="208">
        <f t="shared" si="3"/>
        <v>0.10879999999999999</v>
      </c>
      <c r="V15" s="205">
        <f>T15*U15</f>
        <v>148.902592</v>
      </c>
      <c r="W15" s="205">
        <f t="shared" si="4"/>
        <v>158.55000000000001</v>
      </c>
      <c r="X15" s="205">
        <f>V15+W15</f>
        <v>307.45259199999998</v>
      </c>
      <c r="Y15" s="205">
        <f t="shared" si="5"/>
        <v>0</v>
      </c>
      <c r="Z15" s="205">
        <f t="shared" si="9"/>
        <v>307.45</v>
      </c>
      <c r="AA15" s="209"/>
      <c r="AB15" s="205">
        <f t="shared" si="10"/>
        <v>0</v>
      </c>
      <c r="AC15" s="205">
        <f t="shared" si="11"/>
        <v>307.45</v>
      </c>
      <c r="AD15" s="205">
        <v>0</v>
      </c>
      <c r="AE15" s="206">
        <v>0</v>
      </c>
      <c r="AF15" s="206">
        <v>0</v>
      </c>
      <c r="AG15" s="206">
        <v>0</v>
      </c>
      <c r="AH15" s="205">
        <f t="shared" si="12"/>
        <v>307.45</v>
      </c>
      <c r="AI15" s="205">
        <f t="shared" si="13"/>
        <v>3760.55</v>
      </c>
      <c r="AJ15" s="205"/>
      <c r="AK15" s="256"/>
    </row>
    <row r="16" spans="1:45" s="99" customFormat="1" ht="28.5" customHeight="1" x14ac:dyDescent="0.25">
      <c r="A16" s="100"/>
      <c r="B16" s="171">
        <v>4</v>
      </c>
      <c r="C16" s="161" t="s">
        <v>503</v>
      </c>
      <c r="D16" s="161" t="s">
        <v>133</v>
      </c>
      <c r="E16" s="176"/>
      <c r="F16" s="191">
        <v>15</v>
      </c>
      <c r="G16" s="204">
        <v>108.6</v>
      </c>
      <c r="H16" s="205">
        <f t="shared" si="0"/>
        <v>1629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5">
        <f t="shared" si="6"/>
        <v>1629</v>
      </c>
      <c r="P16" s="207"/>
      <c r="Q16" s="205">
        <f t="shared" si="1"/>
        <v>0</v>
      </c>
      <c r="R16" s="205">
        <f t="shared" si="7"/>
        <v>1629</v>
      </c>
      <c r="S16" s="205">
        <f t="shared" si="2"/>
        <v>318.01</v>
      </c>
      <c r="T16" s="205">
        <f t="shared" si="8"/>
        <v>1310.99</v>
      </c>
      <c r="U16" s="208">
        <f t="shared" si="3"/>
        <v>6.4000000000000001E-2</v>
      </c>
      <c r="V16" s="205">
        <f>T16*U16</f>
        <v>83.903360000000006</v>
      </c>
      <c r="W16" s="205">
        <f t="shared" si="4"/>
        <v>6.15</v>
      </c>
      <c r="X16" s="205">
        <f>V16+W16</f>
        <v>90.053360000000012</v>
      </c>
      <c r="Y16" s="205">
        <f t="shared" si="5"/>
        <v>200.7</v>
      </c>
      <c r="Z16" s="205">
        <f t="shared" si="9"/>
        <v>-110.65</v>
      </c>
      <c r="AA16" s="209"/>
      <c r="AB16" s="205">
        <f t="shared" si="10"/>
        <v>110.65</v>
      </c>
      <c r="AC16" s="205">
        <f t="shared" si="11"/>
        <v>0</v>
      </c>
      <c r="AD16" s="205">
        <v>0</v>
      </c>
      <c r="AE16" s="206">
        <v>0</v>
      </c>
      <c r="AF16" s="206">
        <v>0</v>
      </c>
      <c r="AG16" s="206">
        <v>0</v>
      </c>
      <c r="AH16" s="205">
        <f t="shared" si="12"/>
        <v>0</v>
      </c>
      <c r="AI16" s="205">
        <f t="shared" si="13"/>
        <v>1739.65</v>
      </c>
      <c r="AJ16" s="205"/>
      <c r="AK16" s="256"/>
    </row>
    <row r="17" spans="1:38" s="99" customFormat="1" ht="24" customHeight="1" x14ac:dyDescent="0.25">
      <c r="A17" s="100"/>
      <c r="B17" s="171">
        <v>5</v>
      </c>
      <c r="C17" s="161" t="s">
        <v>416</v>
      </c>
      <c r="D17" s="191" t="s">
        <v>119</v>
      </c>
      <c r="E17" s="176"/>
      <c r="F17" s="191">
        <v>15</v>
      </c>
      <c r="G17" s="204">
        <v>166.67</v>
      </c>
      <c r="H17" s="205">
        <f t="shared" si="0"/>
        <v>2500.0499999999997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5">
        <f t="shared" si="6"/>
        <v>2500.0499999999997</v>
      </c>
      <c r="P17" s="207"/>
      <c r="Q17" s="205">
        <f t="shared" si="1"/>
        <v>0</v>
      </c>
      <c r="R17" s="205">
        <f t="shared" si="7"/>
        <v>2500.0499999999997</v>
      </c>
      <c r="S17" s="205">
        <f t="shared" si="2"/>
        <v>318.01</v>
      </c>
      <c r="T17" s="205">
        <f t="shared" si="8"/>
        <v>2182.04</v>
      </c>
      <c r="U17" s="208">
        <f t="shared" si="3"/>
        <v>6.4000000000000001E-2</v>
      </c>
      <c r="V17" s="205">
        <f>T17*U17</f>
        <v>139.65056000000001</v>
      </c>
      <c r="W17" s="205">
        <f t="shared" si="4"/>
        <v>6.15</v>
      </c>
      <c r="X17" s="205">
        <f t="shared" ref="X17:X21" si="14">V17+W17</f>
        <v>145.80056000000002</v>
      </c>
      <c r="Y17" s="205">
        <f t="shared" si="5"/>
        <v>160.35</v>
      </c>
      <c r="Z17" s="205">
        <f t="shared" si="9"/>
        <v>-14.55</v>
      </c>
      <c r="AA17" s="209"/>
      <c r="AB17" s="205">
        <f t="shared" si="10"/>
        <v>14.55</v>
      </c>
      <c r="AC17" s="205">
        <f t="shared" si="11"/>
        <v>0</v>
      </c>
      <c r="AD17" s="205">
        <v>0</v>
      </c>
      <c r="AE17" s="206">
        <v>0</v>
      </c>
      <c r="AF17" s="206">
        <v>0</v>
      </c>
      <c r="AG17" s="206">
        <v>0</v>
      </c>
      <c r="AH17" s="205">
        <f t="shared" si="12"/>
        <v>0</v>
      </c>
      <c r="AI17" s="205">
        <f t="shared" si="13"/>
        <v>2514.6</v>
      </c>
      <c r="AJ17" s="205"/>
      <c r="AK17" s="256"/>
    </row>
    <row r="18" spans="1:38" s="105" customFormat="1" ht="24" customHeight="1" x14ac:dyDescent="0.25">
      <c r="A18" s="103"/>
      <c r="B18" s="171">
        <v>6</v>
      </c>
      <c r="C18" s="161" t="s">
        <v>497</v>
      </c>
      <c r="D18" s="191" t="s">
        <v>240</v>
      </c>
      <c r="E18" s="176"/>
      <c r="F18" s="191">
        <v>15</v>
      </c>
      <c r="G18" s="204">
        <v>233.39</v>
      </c>
      <c r="H18" s="205">
        <f t="shared" si="0"/>
        <v>3500.85</v>
      </c>
      <c r="I18" s="206">
        <v>0</v>
      </c>
      <c r="J18" s="206">
        <v>0</v>
      </c>
      <c r="K18" s="206">
        <v>0</v>
      </c>
      <c r="L18" s="206">
        <v>0</v>
      </c>
      <c r="M18" s="206">
        <v>0</v>
      </c>
      <c r="N18" s="206">
        <v>0</v>
      </c>
      <c r="O18" s="205">
        <f t="shared" si="6"/>
        <v>3500.85</v>
      </c>
      <c r="P18" s="207"/>
      <c r="Q18" s="205">
        <f t="shared" si="1"/>
        <v>0</v>
      </c>
      <c r="R18" s="205">
        <f t="shared" si="7"/>
        <v>3500.85</v>
      </c>
      <c r="S18" s="205">
        <f t="shared" si="2"/>
        <v>2699.41</v>
      </c>
      <c r="T18" s="205">
        <f t="shared" si="8"/>
        <v>801.44</v>
      </c>
      <c r="U18" s="208">
        <f t="shared" si="3"/>
        <v>0.10879999999999999</v>
      </c>
      <c r="V18" s="205">
        <f t="shared" ref="V18:V19" si="15">T18*U18</f>
        <v>87.196672000000007</v>
      </c>
      <c r="W18" s="205">
        <f t="shared" si="4"/>
        <v>158.55000000000001</v>
      </c>
      <c r="X18" s="205">
        <f t="shared" si="14"/>
        <v>245.74667200000002</v>
      </c>
      <c r="Y18" s="205">
        <f t="shared" si="5"/>
        <v>125.1</v>
      </c>
      <c r="Z18" s="205">
        <f t="shared" si="9"/>
        <v>120.65</v>
      </c>
      <c r="AA18" s="209"/>
      <c r="AB18" s="205">
        <f t="shared" si="10"/>
        <v>0</v>
      </c>
      <c r="AC18" s="205">
        <f t="shared" si="11"/>
        <v>120.65</v>
      </c>
      <c r="AD18" s="205"/>
      <c r="AE18" s="206">
        <v>0</v>
      </c>
      <c r="AF18" s="206">
        <v>0</v>
      </c>
      <c r="AG18" s="206">
        <v>0</v>
      </c>
      <c r="AH18" s="205">
        <f t="shared" si="12"/>
        <v>120.65</v>
      </c>
      <c r="AI18" s="205">
        <f t="shared" si="13"/>
        <v>3380.2</v>
      </c>
      <c r="AJ18" s="205"/>
      <c r="AK18" s="256"/>
    </row>
    <row r="19" spans="1:38" s="105" customFormat="1" ht="24" customHeight="1" x14ac:dyDescent="0.25">
      <c r="A19" s="103"/>
      <c r="B19" s="171">
        <v>7</v>
      </c>
      <c r="C19" s="161" t="s">
        <v>526</v>
      </c>
      <c r="D19" s="191" t="s">
        <v>120</v>
      </c>
      <c r="E19" s="176"/>
      <c r="F19" s="191">
        <v>15</v>
      </c>
      <c r="G19" s="204">
        <v>166.67</v>
      </c>
      <c r="H19" s="205">
        <f t="shared" si="0"/>
        <v>2500.0499999999997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6">
        <v>0</v>
      </c>
      <c r="O19" s="205">
        <f t="shared" si="6"/>
        <v>2500.0499999999997</v>
      </c>
      <c r="P19" s="207"/>
      <c r="Q19" s="205">
        <f t="shared" si="1"/>
        <v>0</v>
      </c>
      <c r="R19" s="205">
        <f t="shared" si="7"/>
        <v>2500.0499999999997</v>
      </c>
      <c r="S19" s="205">
        <f t="shared" si="2"/>
        <v>318.01</v>
      </c>
      <c r="T19" s="205">
        <f t="shared" si="8"/>
        <v>2182.04</v>
      </c>
      <c r="U19" s="208">
        <f t="shared" si="3"/>
        <v>6.4000000000000001E-2</v>
      </c>
      <c r="V19" s="205">
        <f t="shared" si="15"/>
        <v>139.65056000000001</v>
      </c>
      <c r="W19" s="205">
        <f t="shared" si="4"/>
        <v>6.15</v>
      </c>
      <c r="X19" s="205">
        <f t="shared" si="14"/>
        <v>145.80056000000002</v>
      </c>
      <c r="Y19" s="205">
        <f t="shared" si="5"/>
        <v>160.35</v>
      </c>
      <c r="Z19" s="205">
        <f t="shared" si="9"/>
        <v>-14.55</v>
      </c>
      <c r="AA19" s="209"/>
      <c r="AB19" s="205">
        <f t="shared" si="10"/>
        <v>14.55</v>
      </c>
      <c r="AC19" s="205">
        <f t="shared" si="11"/>
        <v>0</v>
      </c>
      <c r="AD19" s="205"/>
      <c r="AE19" s="206">
        <v>0</v>
      </c>
      <c r="AF19" s="206">
        <v>0</v>
      </c>
      <c r="AG19" s="206">
        <v>0</v>
      </c>
      <c r="AH19" s="205">
        <f t="shared" si="12"/>
        <v>0</v>
      </c>
      <c r="AI19" s="205">
        <f t="shared" si="13"/>
        <v>2514.6</v>
      </c>
      <c r="AJ19" s="205"/>
      <c r="AK19" s="256"/>
    </row>
    <row r="20" spans="1:38" s="105" customFormat="1" ht="24" customHeight="1" x14ac:dyDescent="0.25">
      <c r="A20" s="103"/>
      <c r="B20" s="171">
        <v>8</v>
      </c>
      <c r="C20" s="161" t="s">
        <v>488</v>
      </c>
      <c r="D20" s="191" t="s">
        <v>270</v>
      </c>
      <c r="E20" s="176"/>
      <c r="F20" s="191">
        <v>15</v>
      </c>
      <c r="G20" s="204">
        <v>86.67</v>
      </c>
      <c r="H20" s="205">
        <f t="shared" si="0"/>
        <v>1300.05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5">
        <f t="shared" si="6"/>
        <v>1300.05</v>
      </c>
      <c r="P20" s="207"/>
      <c r="Q20" s="205">
        <f t="shared" si="1"/>
        <v>0</v>
      </c>
      <c r="R20" s="205">
        <f t="shared" si="7"/>
        <v>1300.05</v>
      </c>
      <c r="S20" s="205">
        <f t="shared" si="2"/>
        <v>318.01</v>
      </c>
      <c r="T20" s="205">
        <f t="shared" si="8"/>
        <v>982.04</v>
      </c>
      <c r="U20" s="208">
        <f t="shared" si="3"/>
        <v>6.4000000000000001E-2</v>
      </c>
      <c r="V20" s="205">
        <f>T20*U20</f>
        <v>62.850560000000002</v>
      </c>
      <c r="W20" s="205">
        <f t="shared" si="4"/>
        <v>6.15</v>
      </c>
      <c r="X20" s="205">
        <f t="shared" si="14"/>
        <v>69.000560000000007</v>
      </c>
      <c r="Y20" s="205">
        <f t="shared" si="5"/>
        <v>200.7</v>
      </c>
      <c r="Z20" s="205">
        <f t="shared" si="9"/>
        <v>-131.69999999999999</v>
      </c>
      <c r="AA20" s="209"/>
      <c r="AB20" s="205">
        <f t="shared" si="10"/>
        <v>131.69999999999999</v>
      </c>
      <c r="AC20" s="205">
        <f t="shared" si="11"/>
        <v>0</v>
      </c>
      <c r="AD20" s="205">
        <v>0</v>
      </c>
      <c r="AE20" s="206">
        <v>0</v>
      </c>
      <c r="AF20" s="206">
        <v>0</v>
      </c>
      <c r="AG20" s="206">
        <v>0</v>
      </c>
      <c r="AH20" s="205">
        <f t="shared" si="12"/>
        <v>0</v>
      </c>
      <c r="AI20" s="205">
        <f t="shared" si="13"/>
        <v>1431.75</v>
      </c>
      <c r="AJ20" s="205"/>
      <c r="AK20" s="256"/>
    </row>
    <row r="21" spans="1:38" s="105" customFormat="1" ht="24" customHeight="1" x14ac:dyDescent="0.25">
      <c r="A21" s="103"/>
      <c r="B21" s="171">
        <v>9</v>
      </c>
      <c r="C21" s="161" t="s">
        <v>406</v>
      </c>
      <c r="D21" s="191" t="s">
        <v>292</v>
      </c>
      <c r="E21" s="176"/>
      <c r="F21" s="191">
        <v>15</v>
      </c>
      <c r="G21" s="204">
        <v>186.67</v>
      </c>
      <c r="H21" s="205">
        <f t="shared" si="0"/>
        <v>2800.0499999999997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5">
        <f t="shared" si="6"/>
        <v>2800.0499999999997</v>
      </c>
      <c r="P21" s="207"/>
      <c r="Q21" s="205">
        <f t="shared" si="1"/>
        <v>0</v>
      </c>
      <c r="R21" s="205">
        <f t="shared" si="7"/>
        <v>2800.0499999999997</v>
      </c>
      <c r="S21" s="205">
        <f t="shared" si="2"/>
        <v>2699.41</v>
      </c>
      <c r="T21" s="205">
        <f t="shared" si="8"/>
        <v>100.63999999999987</v>
      </c>
      <c r="U21" s="208">
        <f t="shared" si="3"/>
        <v>0.10879999999999999</v>
      </c>
      <c r="V21" s="205">
        <f>T21*U21</f>
        <v>10.949631999999985</v>
      </c>
      <c r="W21" s="205">
        <f t="shared" si="4"/>
        <v>158.55000000000001</v>
      </c>
      <c r="X21" s="205">
        <f t="shared" si="14"/>
        <v>169.49963199999999</v>
      </c>
      <c r="Y21" s="205">
        <f t="shared" si="5"/>
        <v>145.35</v>
      </c>
      <c r="Z21" s="205">
        <f t="shared" si="9"/>
        <v>24.15</v>
      </c>
      <c r="AA21" s="209"/>
      <c r="AB21" s="205">
        <f t="shared" si="10"/>
        <v>0</v>
      </c>
      <c r="AC21" s="205">
        <f t="shared" si="11"/>
        <v>24.15</v>
      </c>
      <c r="AD21" s="205"/>
      <c r="AE21" s="206">
        <v>0</v>
      </c>
      <c r="AF21" s="206">
        <v>0</v>
      </c>
      <c r="AG21" s="206">
        <v>0</v>
      </c>
      <c r="AH21" s="205">
        <f t="shared" si="12"/>
        <v>24.15</v>
      </c>
      <c r="AI21" s="205">
        <f>O21+AB21-AH21</f>
        <v>2775.8999999999996</v>
      </c>
      <c r="AJ21" s="205"/>
      <c r="AK21" s="256"/>
    </row>
    <row r="22" spans="1:38" s="99" customFormat="1" ht="24" customHeight="1" x14ac:dyDescent="0.25">
      <c r="A22" s="100"/>
      <c r="B22" s="171"/>
      <c r="C22" s="161"/>
      <c r="D22" s="275" t="s">
        <v>111</v>
      </c>
      <c r="E22" s="443"/>
      <c r="F22" s="444"/>
      <c r="G22" s="445"/>
      <c r="H22" s="280">
        <f>SUM(H13:H21)</f>
        <v>26798.099999999995</v>
      </c>
      <c r="I22" s="280">
        <f t="shared" ref="I22:AF22" si="16">SUM(I13:I20)</f>
        <v>0</v>
      </c>
      <c r="J22" s="205">
        <f t="shared" si="16"/>
        <v>0</v>
      </c>
      <c r="K22" s="280">
        <f t="shared" si="16"/>
        <v>0</v>
      </c>
      <c r="L22" s="205">
        <f t="shared" si="16"/>
        <v>0</v>
      </c>
      <c r="M22" s="280">
        <f t="shared" si="16"/>
        <v>0</v>
      </c>
      <c r="N22" s="205">
        <f t="shared" si="16"/>
        <v>0</v>
      </c>
      <c r="O22" s="280">
        <f>SUM(O13:O21)</f>
        <v>26798.099999999995</v>
      </c>
      <c r="P22" s="280">
        <f t="shared" si="16"/>
        <v>0</v>
      </c>
      <c r="Q22" s="205">
        <f t="shared" si="16"/>
        <v>0</v>
      </c>
      <c r="R22" s="280">
        <f t="shared" si="16"/>
        <v>23998.049999999996</v>
      </c>
      <c r="S22" s="280">
        <f t="shared" si="16"/>
        <v>12503.630000000001</v>
      </c>
      <c r="T22" s="280">
        <f t="shared" si="16"/>
        <v>11494.420000000002</v>
      </c>
      <c r="U22" s="280">
        <f t="shared" si="16"/>
        <v>0.7168000000000001</v>
      </c>
      <c r="V22" s="280">
        <f t="shared" si="16"/>
        <v>888.75987200000009</v>
      </c>
      <c r="W22" s="280">
        <f t="shared" si="16"/>
        <v>852.14999999999986</v>
      </c>
      <c r="X22" s="280">
        <f t="shared" si="16"/>
        <v>1740.9098719999997</v>
      </c>
      <c r="Y22" s="280">
        <f t="shared" si="16"/>
        <v>1007.55</v>
      </c>
      <c r="Z22" s="280">
        <f t="shared" si="16"/>
        <v>733.36000000000013</v>
      </c>
      <c r="AA22" s="280">
        <f t="shared" si="16"/>
        <v>0</v>
      </c>
      <c r="AB22" s="280">
        <f>SUM(AB13:AB21)</f>
        <v>286</v>
      </c>
      <c r="AC22" s="280">
        <f>SUM(AC13:AC21)</f>
        <v>1043.51</v>
      </c>
      <c r="AD22" s="280">
        <f t="shared" si="16"/>
        <v>0</v>
      </c>
      <c r="AE22" s="280">
        <f t="shared" si="16"/>
        <v>0</v>
      </c>
      <c r="AF22" s="280">
        <f t="shared" si="16"/>
        <v>0</v>
      </c>
      <c r="AG22" s="280">
        <f>SUM(AG13:AG21)</f>
        <v>0</v>
      </c>
      <c r="AH22" s="280">
        <f>SUM(AH13:AH21)</f>
        <v>1043.51</v>
      </c>
      <c r="AI22" s="280">
        <f>SUM(AI13:AI21)</f>
        <v>26040.589999999997</v>
      </c>
      <c r="AJ22" s="205"/>
      <c r="AK22" s="256"/>
      <c r="AL22" s="99">
        <f>O22+AB22-AC22</f>
        <v>26040.589999999997</v>
      </c>
    </row>
    <row r="23" spans="1:38" ht="21.75" customHeight="1" x14ac:dyDescent="0.25">
      <c r="B23" s="426" t="s">
        <v>195</v>
      </c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  <c r="AI23" s="426"/>
      <c r="AJ23" s="426"/>
      <c r="AK23" s="255"/>
    </row>
    <row r="24" spans="1:38" ht="26.25" customHeight="1" x14ac:dyDescent="0.25">
      <c r="B24" s="171">
        <v>10</v>
      </c>
      <c r="C24" s="161" t="s">
        <v>414</v>
      </c>
      <c r="D24" s="191" t="s">
        <v>196</v>
      </c>
      <c r="E24" s="176"/>
      <c r="F24" s="191">
        <v>15</v>
      </c>
      <c r="G24" s="204">
        <v>466.67</v>
      </c>
      <c r="H24" s="205">
        <f>G24*F24</f>
        <v>7000.05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5">
        <f>SUM(H24:N24)</f>
        <v>7000.05</v>
      </c>
      <c r="P24" s="207"/>
      <c r="Q24" s="205">
        <f>IF(G24=47.16,0,IF(G24&gt;47.16,L24*0.5,0))</f>
        <v>0</v>
      </c>
      <c r="R24" s="205">
        <f>H24+I24+J24+M24+Q24+K24</f>
        <v>7000.05</v>
      </c>
      <c r="S24" s="205">
        <f>VLOOKUP(R24,TARIFA1,1)</f>
        <v>6602.71</v>
      </c>
      <c r="T24" s="205">
        <f>R24-S24</f>
        <v>397.34000000000015</v>
      </c>
      <c r="U24" s="208">
        <f>VLOOKUP(R24,TARIFA1,3)</f>
        <v>0.21360000000000001</v>
      </c>
      <c r="V24" s="205">
        <f>T24*U24</f>
        <v>84.871824000000032</v>
      </c>
      <c r="W24" s="205">
        <f>VLOOKUP(R24,TARIFA1,2)</f>
        <v>699.3</v>
      </c>
      <c r="X24" s="205">
        <f>V24+W24</f>
        <v>784.17182400000002</v>
      </c>
      <c r="Y24" s="205">
        <f>VLOOKUP(R24,Credito1,2)</f>
        <v>0</v>
      </c>
      <c r="Z24" s="205">
        <f>ROUND(X24-Y24,2)</f>
        <v>784.17</v>
      </c>
      <c r="AA24" s="209"/>
      <c r="AB24" s="205">
        <f>-IF(Z24&gt;0,0,Z24)</f>
        <v>0</v>
      </c>
      <c r="AC24" s="205">
        <f>IF(Z24&lt;0,0,Z24)</f>
        <v>784.17</v>
      </c>
      <c r="AD24" s="205">
        <v>0</v>
      </c>
      <c r="AE24" s="206">
        <v>0</v>
      </c>
      <c r="AF24" s="206">
        <v>0</v>
      </c>
      <c r="AG24" s="281">
        <v>0</v>
      </c>
      <c r="AH24" s="205">
        <f>SUM(AC24:AG24)</f>
        <v>784.17</v>
      </c>
      <c r="AI24" s="205">
        <f>O24+AB24-AH24</f>
        <v>6215.88</v>
      </c>
      <c r="AJ24" s="205"/>
      <c r="AK24" s="255"/>
    </row>
    <row r="25" spans="1:38" ht="26.25" customHeight="1" x14ac:dyDescent="0.25">
      <c r="B25" s="171"/>
      <c r="C25" s="161"/>
      <c r="D25" s="275" t="s">
        <v>111</v>
      </c>
      <c r="E25" s="443"/>
      <c r="F25" s="444"/>
      <c r="G25" s="445"/>
      <c r="H25" s="280">
        <f t="shared" ref="H25:AI25" si="17">+H24</f>
        <v>7000.05</v>
      </c>
      <c r="I25" s="280">
        <f t="shared" si="17"/>
        <v>0</v>
      </c>
      <c r="J25" s="205">
        <f t="shared" si="17"/>
        <v>0</v>
      </c>
      <c r="K25" s="280">
        <f t="shared" si="17"/>
        <v>0</v>
      </c>
      <c r="L25" s="205">
        <f t="shared" si="17"/>
        <v>0</v>
      </c>
      <c r="M25" s="280">
        <f t="shared" si="17"/>
        <v>0</v>
      </c>
      <c r="N25" s="205">
        <f t="shared" si="17"/>
        <v>0</v>
      </c>
      <c r="O25" s="280">
        <f t="shared" si="17"/>
        <v>7000.05</v>
      </c>
      <c r="P25" s="280">
        <f t="shared" si="17"/>
        <v>0</v>
      </c>
      <c r="Q25" s="205">
        <f t="shared" si="17"/>
        <v>0</v>
      </c>
      <c r="R25" s="280">
        <f t="shared" si="17"/>
        <v>7000.05</v>
      </c>
      <c r="S25" s="280">
        <f t="shared" si="17"/>
        <v>6602.71</v>
      </c>
      <c r="T25" s="280">
        <f t="shared" si="17"/>
        <v>397.34000000000015</v>
      </c>
      <c r="U25" s="280">
        <f t="shared" si="17"/>
        <v>0.21360000000000001</v>
      </c>
      <c r="V25" s="280">
        <f t="shared" si="17"/>
        <v>84.871824000000032</v>
      </c>
      <c r="W25" s="280">
        <f t="shared" si="17"/>
        <v>699.3</v>
      </c>
      <c r="X25" s="280">
        <f t="shared" si="17"/>
        <v>784.17182400000002</v>
      </c>
      <c r="Y25" s="280">
        <f t="shared" si="17"/>
        <v>0</v>
      </c>
      <c r="Z25" s="280">
        <f t="shared" si="17"/>
        <v>784.17</v>
      </c>
      <c r="AA25" s="280">
        <f t="shared" si="17"/>
        <v>0</v>
      </c>
      <c r="AB25" s="280">
        <f t="shared" si="17"/>
        <v>0</v>
      </c>
      <c r="AC25" s="280">
        <f t="shared" si="17"/>
        <v>784.17</v>
      </c>
      <c r="AD25" s="280">
        <f t="shared" si="17"/>
        <v>0</v>
      </c>
      <c r="AE25" s="280">
        <f t="shared" si="17"/>
        <v>0</v>
      </c>
      <c r="AF25" s="280">
        <f t="shared" si="17"/>
        <v>0</v>
      </c>
      <c r="AG25" s="280">
        <f t="shared" si="17"/>
        <v>0</v>
      </c>
      <c r="AH25" s="280">
        <f t="shared" si="17"/>
        <v>784.17</v>
      </c>
      <c r="AI25" s="280">
        <f t="shared" si="17"/>
        <v>6215.88</v>
      </c>
      <c r="AJ25" s="171"/>
      <c r="AK25" s="255"/>
      <c r="AL25" s="108">
        <f>O25+AB25-AH25</f>
        <v>6215.88</v>
      </c>
    </row>
    <row r="26" spans="1:38" s="99" customFormat="1" ht="24" customHeight="1" x14ac:dyDescent="0.25">
      <c r="A26" s="100"/>
      <c r="B26" s="426" t="s">
        <v>112</v>
      </c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256"/>
    </row>
    <row r="27" spans="1:38" s="99" customFormat="1" ht="28.5" customHeight="1" x14ac:dyDescent="0.25">
      <c r="A27" s="100"/>
      <c r="B27" s="171">
        <v>11</v>
      </c>
      <c r="C27" s="161" t="s">
        <v>391</v>
      </c>
      <c r="D27" s="191" t="s">
        <v>141</v>
      </c>
      <c r="E27" s="176"/>
      <c r="F27" s="191">
        <v>15</v>
      </c>
      <c r="G27" s="204">
        <v>271.07</v>
      </c>
      <c r="H27" s="205">
        <f>F27*G27</f>
        <v>4066.0499999999997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5">
        <f>SUM(H27:N27)</f>
        <v>4066.0499999999997</v>
      </c>
      <c r="P27" s="207"/>
      <c r="Q27" s="205">
        <f>IF(G27=47.16,0,IF(G27&gt;47.16,L27*0.5,0))</f>
        <v>0</v>
      </c>
      <c r="R27" s="205">
        <f>H27+I27+J27+M27+Q27+K27</f>
        <v>4066.0499999999997</v>
      </c>
      <c r="S27" s="205">
        <f>VLOOKUP(R27,TARIFA1,1)</f>
        <v>2699.41</v>
      </c>
      <c r="T27" s="205">
        <f>R27-S27</f>
        <v>1366.6399999999999</v>
      </c>
      <c r="U27" s="208">
        <f>VLOOKUP(R27,TARIFA1,3)</f>
        <v>0.10879999999999999</v>
      </c>
      <c r="V27" s="205">
        <f>T27*U27</f>
        <v>148.69043199999999</v>
      </c>
      <c r="W27" s="205">
        <f>VLOOKUP(R27,TARIFA1,2)</f>
        <v>158.55000000000001</v>
      </c>
      <c r="X27" s="205">
        <f>V27+W27</f>
        <v>307.240432</v>
      </c>
      <c r="Y27" s="205">
        <f>VLOOKUP(R27,Credito1,2)</f>
        <v>0</v>
      </c>
      <c r="Z27" s="205">
        <f>ROUND(X27-Y27,2)</f>
        <v>307.24</v>
      </c>
      <c r="AA27" s="209"/>
      <c r="AB27" s="205">
        <f>-IF(Z27&gt;0,0,Z27)</f>
        <v>0</v>
      </c>
      <c r="AC27" s="205">
        <f>IF(Z27&lt;0,0,Z27)</f>
        <v>307.24</v>
      </c>
      <c r="AD27" s="205">
        <v>0</v>
      </c>
      <c r="AE27" s="205">
        <v>0</v>
      </c>
      <c r="AF27" s="205">
        <v>0</v>
      </c>
      <c r="AG27" s="281">
        <v>0</v>
      </c>
      <c r="AH27" s="205">
        <f>SUM(AC27:AG27)</f>
        <v>307.24</v>
      </c>
      <c r="AI27" s="205">
        <f>O27+AB27-AH27</f>
        <v>3758.8099999999995</v>
      </c>
      <c r="AJ27" s="205"/>
      <c r="AK27" s="256"/>
    </row>
    <row r="28" spans="1:38" s="99" customFormat="1" ht="24" customHeight="1" x14ac:dyDescent="0.25">
      <c r="A28" s="100"/>
      <c r="B28" s="171">
        <v>12</v>
      </c>
      <c r="C28" s="161" t="s">
        <v>383</v>
      </c>
      <c r="D28" s="191" t="s">
        <v>254</v>
      </c>
      <c r="E28" s="176"/>
      <c r="F28" s="191">
        <v>15</v>
      </c>
      <c r="G28" s="204">
        <v>271.07</v>
      </c>
      <c r="H28" s="205">
        <f>F28*G28</f>
        <v>4066.0499999999997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5">
        <f>SUM(H28:N28)</f>
        <v>4066.0499999999997</v>
      </c>
      <c r="P28" s="207"/>
      <c r="Q28" s="205">
        <v>0</v>
      </c>
      <c r="R28" s="205">
        <f>H28+I28+J28+M28+Q28+K28</f>
        <v>4066.0499999999997</v>
      </c>
      <c r="S28" s="205">
        <f>VLOOKUP(R28,TARIFA1,1)</f>
        <v>2699.41</v>
      </c>
      <c r="T28" s="205">
        <f>R28-S28</f>
        <v>1366.6399999999999</v>
      </c>
      <c r="U28" s="208">
        <f>VLOOKUP(R28,TARIFA1,3)</f>
        <v>0.10879999999999999</v>
      </c>
      <c r="V28" s="205">
        <f>T28*U28</f>
        <v>148.69043199999999</v>
      </c>
      <c r="W28" s="205">
        <f>VLOOKUP(R28,TARIFA1,2)</f>
        <v>158.55000000000001</v>
      </c>
      <c r="X28" s="205">
        <f>V28+W28</f>
        <v>307.240432</v>
      </c>
      <c r="Y28" s="205">
        <f>VLOOKUP(R28,Credito1,2)</f>
        <v>0</v>
      </c>
      <c r="Z28" s="205">
        <f>ROUND(X28-Y28,2)</f>
        <v>307.24</v>
      </c>
      <c r="AA28" s="209"/>
      <c r="AB28" s="205">
        <f>-IF(Z28&gt;0,0,Z28)</f>
        <v>0</v>
      </c>
      <c r="AC28" s="205">
        <f>IF(Z28&lt;0,0,Z28)</f>
        <v>307.24</v>
      </c>
      <c r="AD28" s="205">
        <v>0</v>
      </c>
      <c r="AE28" s="206">
        <v>0</v>
      </c>
      <c r="AF28" s="206">
        <v>0</v>
      </c>
      <c r="AG28" s="281">
        <v>0</v>
      </c>
      <c r="AH28" s="205">
        <f>SUM(AC28:AG28)</f>
        <v>307.24</v>
      </c>
      <c r="AI28" s="205">
        <f t="shared" ref="AI28:AI29" si="18">O28+AB28-AH28</f>
        <v>3758.8099999999995</v>
      </c>
      <c r="AJ28" s="205"/>
      <c r="AK28" s="256"/>
    </row>
    <row r="29" spans="1:38" s="107" customFormat="1" ht="22.5" customHeight="1" x14ac:dyDescent="0.3">
      <c r="A29" s="106"/>
      <c r="B29" s="171">
        <v>13</v>
      </c>
      <c r="C29" s="161" t="s">
        <v>371</v>
      </c>
      <c r="D29" s="191" t="s">
        <v>255</v>
      </c>
      <c r="E29" s="176"/>
      <c r="F29" s="191">
        <v>15</v>
      </c>
      <c r="G29" s="204">
        <v>271.07</v>
      </c>
      <c r="H29" s="205">
        <f>F29*G29</f>
        <v>4066.0499999999997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5">
        <f>SUM(H29:N29)</f>
        <v>4066.0499999999997</v>
      </c>
      <c r="P29" s="207"/>
      <c r="Q29" s="205">
        <f>IF(G29=47.16,0,IF(G29&gt;47.16,L29*0.5,0))</f>
        <v>0</v>
      </c>
      <c r="R29" s="205">
        <f>H29+I29+J29+M29+Q29+K29</f>
        <v>4066.0499999999997</v>
      </c>
      <c r="S29" s="205">
        <f>VLOOKUP(R29,TARIFA1,1)</f>
        <v>2699.41</v>
      </c>
      <c r="T29" s="205">
        <f>R29-S29</f>
        <v>1366.6399999999999</v>
      </c>
      <c r="U29" s="208">
        <f>VLOOKUP(R29,TARIFA1,3)</f>
        <v>0.10879999999999999</v>
      </c>
      <c r="V29" s="205">
        <f>T29*U29</f>
        <v>148.69043199999999</v>
      </c>
      <c r="W29" s="205">
        <f>VLOOKUP(R29,TARIFA1,2)</f>
        <v>158.55000000000001</v>
      </c>
      <c r="X29" s="205">
        <f>V29+W29</f>
        <v>307.240432</v>
      </c>
      <c r="Y29" s="205">
        <f>VLOOKUP(R29,Credito1,2)</f>
        <v>0</v>
      </c>
      <c r="Z29" s="205">
        <f>ROUND(X29-Y29,2)</f>
        <v>307.24</v>
      </c>
      <c r="AA29" s="209"/>
      <c r="AB29" s="205">
        <f>-IF(Z29&gt;0,0,Z29)</f>
        <v>0</v>
      </c>
      <c r="AC29" s="205">
        <f>IF(Z29&lt;0,0,Z29)</f>
        <v>307.24</v>
      </c>
      <c r="AD29" s="205">
        <v>0</v>
      </c>
      <c r="AE29" s="206">
        <v>0</v>
      </c>
      <c r="AF29" s="206">
        <v>0</v>
      </c>
      <c r="AG29" s="281">
        <v>0</v>
      </c>
      <c r="AH29" s="205">
        <f>SUM(AC29:AG29)</f>
        <v>307.24</v>
      </c>
      <c r="AI29" s="205">
        <f t="shared" si="18"/>
        <v>3758.8099999999995</v>
      </c>
      <c r="AJ29" s="205"/>
      <c r="AK29" s="260"/>
    </row>
    <row r="30" spans="1:38" s="99" customFormat="1" ht="22.5" customHeight="1" x14ac:dyDescent="0.25">
      <c r="A30" s="100"/>
      <c r="B30" s="169"/>
      <c r="C30" s="254"/>
      <c r="D30" s="275" t="s">
        <v>111</v>
      </c>
      <c r="E30" s="443"/>
      <c r="F30" s="444"/>
      <c r="G30" s="445"/>
      <c r="H30" s="280">
        <f t="shared" ref="H30:AI30" si="19">SUM(H27:H29)</f>
        <v>12198.15</v>
      </c>
      <c r="I30" s="280">
        <f t="shared" si="19"/>
        <v>0</v>
      </c>
      <c r="J30" s="205">
        <f t="shared" si="19"/>
        <v>0</v>
      </c>
      <c r="K30" s="280">
        <f t="shared" si="19"/>
        <v>0</v>
      </c>
      <c r="L30" s="205">
        <f t="shared" si="19"/>
        <v>0</v>
      </c>
      <c r="M30" s="280">
        <f t="shared" si="19"/>
        <v>0</v>
      </c>
      <c r="N30" s="205">
        <f t="shared" si="19"/>
        <v>0</v>
      </c>
      <c r="O30" s="280">
        <f t="shared" si="19"/>
        <v>12198.15</v>
      </c>
      <c r="P30" s="280">
        <f t="shared" si="19"/>
        <v>0</v>
      </c>
      <c r="Q30" s="205">
        <f t="shared" si="19"/>
        <v>0</v>
      </c>
      <c r="R30" s="280">
        <f t="shared" si="19"/>
        <v>12198.15</v>
      </c>
      <c r="S30" s="280">
        <f t="shared" si="19"/>
        <v>8098.23</v>
      </c>
      <c r="T30" s="280">
        <f t="shared" si="19"/>
        <v>4099.92</v>
      </c>
      <c r="U30" s="280">
        <f t="shared" si="19"/>
        <v>0.32639999999999997</v>
      </c>
      <c r="V30" s="280">
        <f t="shared" si="19"/>
        <v>446.07129599999996</v>
      </c>
      <c r="W30" s="280">
        <f t="shared" si="19"/>
        <v>475.65000000000003</v>
      </c>
      <c r="X30" s="280">
        <f t="shared" si="19"/>
        <v>921.72129599999994</v>
      </c>
      <c r="Y30" s="280">
        <f t="shared" si="19"/>
        <v>0</v>
      </c>
      <c r="Z30" s="280">
        <f t="shared" si="19"/>
        <v>921.72</v>
      </c>
      <c r="AA30" s="280">
        <f t="shared" si="19"/>
        <v>0</v>
      </c>
      <c r="AB30" s="280">
        <f t="shared" si="19"/>
        <v>0</v>
      </c>
      <c r="AC30" s="280">
        <f t="shared" si="19"/>
        <v>921.72</v>
      </c>
      <c r="AD30" s="280">
        <f t="shared" si="19"/>
        <v>0</v>
      </c>
      <c r="AE30" s="280">
        <f t="shared" si="19"/>
        <v>0</v>
      </c>
      <c r="AF30" s="280">
        <f t="shared" si="19"/>
        <v>0</v>
      </c>
      <c r="AG30" s="280">
        <f t="shared" si="19"/>
        <v>0</v>
      </c>
      <c r="AH30" s="280">
        <f t="shared" si="19"/>
        <v>921.72</v>
      </c>
      <c r="AI30" s="280">
        <f t="shared" si="19"/>
        <v>11276.429999999998</v>
      </c>
      <c r="AJ30" s="280"/>
      <c r="AK30" s="256"/>
      <c r="AL30" s="99">
        <f>O30+AB30-AH30</f>
        <v>11276.43</v>
      </c>
    </row>
    <row r="31" spans="1:38" ht="21" customHeight="1" x14ac:dyDescent="0.25">
      <c r="B31" s="426" t="s">
        <v>114</v>
      </c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  <c r="AD31" s="426"/>
      <c r="AE31" s="426"/>
      <c r="AF31" s="426"/>
      <c r="AG31" s="426"/>
      <c r="AH31" s="426"/>
      <c r="AI31" s="426"/>
      <c r="AJ31" s="426"/>
      <c r="AK31" s="255"/>
    </row>
    <row r="32" spans="1:38" ht="24" customHeight="1" x14ac:dyDescent="0.25">
      <c r="B32" s="171">
        <v>15</v>
      </c>
      <c r="C32" s="161" t="s">
        <v>437</v>
      </c>
      <c r="D32" s="191" t="s">
        <v>143</v>
      </c>
      <c r="E32" s="176"/>
      <c r="F32" s="191">
        <v>15</v>
      </c>
      <c r="G32" s="204">
        <v>284.33</v>
      </c>
      <c r="H32" s="205">
        <f>F32*G32</f>
        <v>4264.95</v>
      </c>
      <c r="I32" s="206">
        <v>0</v>
      </c>
      <c r="J32" s="206">
        <v>0</v>
      </c>
      <c r="K32" s="206">
        <v>0</v>
      </c>
      <c r="L32" s="206">
        <v>0</v>
      </c>
      <c r="M32" s="206">
        <v>0</v>
      </c>
      <c r="N32" s="205">
        <v>0</v>
      </c>
      <c r="O32" s="205">
        <f>SUM(H32:N32)</f>
        <v>4264.95</v>
      </c>
      <c r="P32" s="207"/>
      <c r="Q32" s="205">
        <f>IF(G32=47.16,0,IF(G32&gt;47.16,L32*0.5,0))</f>
        <v>0</v>
      </c>
      <c r="R32" s="205">
        <f>H32+I32+J32+M32+Q32+K32</f>
        <v>4264.95</v>
      </c>
      <c r="S32" s="205">
        <f>VLOOKUP(R32,TARIFA1,1)</f>
        <v>2699.41</v>
      </c>
      <c r="T32" s="205">
        <f>R32-S32</f>
        <v>1565.54</v>
      </c>
      <c r="U32" s="208">
        <f>VLOOKUP(R32,TARIFA1,3)</f>
        <v>0.10879999999999999</v>
      </c>
      <c r="V32" s="205">
        <f>T32*U32</f>
        <v>170.33075199999999</v>
      </c>
      <c r="W32" s="205">
        <f>VLOOKUP(R32,TARIFA1,2)</f>
        <v>158.55000000000001</v>
      </c>
      <c r="X32" s="205">
        <f>V32+W32</f>
        <v>328.88075200000003</v>
      </c>
      <c r="Y32" s="205">
        <f>VLOOKUP(R32,Credito1,2)</f>
        <v>0</v>
      </c>
      <c r="Z32" s="205">
        <f>ROUND(X32-Y32,2)</f>
        <v>328.88</v>
      </c>
      <c r="AA32" s="209"/>
      <c r="AB32" s="205">
        <f>-IF(Z32&gt;0,0,Z32)</f>
        <v>0</v>
      </c>
      <c r="AC32" s="205">
        <f>IF(Z32&lt;0,0,Z32)</f>
        <v>328.88</v>
      </c>
      <c r="AD32" s="205">
        <v>0</v>
      </c>
      <c r="AE32" s="205">
        <v>0</v>
      </c>
      <c r="AF32" s="205">
        <v>0</v>
      </c>
      <c r="AG32" s="281">
        <v>0</v>
      </c>
      <c r="AH32" s="205">
        <f>SUM(AC32:AG32)</f>
        <v>328.88</v>
      </c>
      <c r="AI32" s="205">
        <f t="shared" ref="AI32:AI36" si="20">O32+AB32-AH32</f>
        <v>3936.0699999999997</v>
      </c>
      <c r="AJ32" s="205"/>
      <c r="AK32" s="255"/>
    </row>
    <row r="33" spans="2:39" ht="24" customHeight="1" x14ac:dyDescent="0.25">
      <c r="B33" s="171">
        <v>16</v>
      </c>
      <c r="C33" s="161" t="s">
        <v>519</v>
      </c>
      <c r="D33" s="191" t="s">
        <v>224</v>
      </c>
      <c r="E33" s="176"/>
      <c r="F33" s="191">
        <v>15</v>
      </c>
      <c r="G33" s="204">
        <v>153.33000000000001</v>
      </c>
      <c r="H33" s="205">
        <f>F33*G33</f>
        <v>2299.9500000000003</v>
      </c>
      <c r="I33" s="206">
        <v>0</v>
      </c>
      <c r="J33" s="206">
        <v>0</v>
      </c>
      <c r="K33" s="206">
        <v>0</v>
      </c>
      <c r="L33" s="206">
        <v>0</v>
      </c>
      <c r="M33" s="206">
        <v>0</v>
      </c>
      <c r="N33" s="205">
        <v>0</v>
      </c>
      <c r="O33" s="205">
        <f t="shared" ref="O33:O36" si="21">SUM(H33:N33)</f>
        <v>2299.9500000000003</v>
      </c>
      <c r="P33" s="207"/>
      <c r="Q33" s="205">
        <f>IF(G33=47.16,0,IF(G33&gt;47.16,L33*0.5,0))</f>
        <v>0</v>
      </c>
      <c r="R33" s="205">
        <f t="shared" ref="R33:R36" si="22">H33+I33+J33+M33+Q33+K33</f>
        <v>2299.9500000000003</v>
      </c>
      <c r="S33" s="205">
        <f>VLOOKUP(R33,TARIFA1,1)</f>
        <v>318.01</v>
      </c>
      <c r="T33" s="205">
        <f t="shared" ref="T33:T36" si="23">R33-S33</f>
        <v>1981.9400000000003</v>
      </c>
      <c r="U33" s="208">
        <f>VLOOKUP(R33,TARIFA1,3)</f>
        <v>6.4000000000000001E-2</v>
      </c>
      <c r="V33" s="205">
        <f t="shared" ref="V33:V36" si="24">T33*U33</f>
        <v>126.84416000000002</v>
      </c>
      <c r="W33" s="205">
        <f>VLOOKUP(R33,TARIFA1,2)</f>
        <v>6.15</v>
      </c>
      <c r="X33" s="205">
        <f t="shared" ref="X33:X36" si="25">V33+W33</f>
        <v>132.99416000000002</v>
      </c>
      <c r="Y33" s="205">
        <f>VLOOKUP(R33,Credito1,2)</f>
        <v>174.75</v>
      </c>
      <c r="Z33" s="205">
        <f t="shared" ref="Z33:Z36" si="26">ROUND(X33-Y33,2)</f>
        <v>-41.76</v>
      </c>
      <c r="AA33" s="209"/>
      <c r="AB33" s="205">
        <f t="shared" ref="AB33:AB36" si="27">-IF(Z33&gt;0,0,Z33)</f>
        <v>41.76</v>
      </c>
      <c r="AC33" s="205">
        <f t="shared" ref="AC33:AC36" si="28">IF(Z33&lt;0,0,Z33)</f>
        <v>0</v>
      </c>
      <c r="AD33" s="205">
        <v>0</v>
      </c>
      <c r="AE33" s="205">
        <v>0</v>
      </c>
      <c r="AF33" s="205">
        <v>0</v>
      </c>
      <c r="AG33" s="281">
        <v>0</v>
      </c>
      <c r="AH33" s="205">
        <f t="shared" ref="AH33:AH36" si="29">SUM(AC33:AG33)</f>
        <v>0</v>
      </c>
      <c r="AI33" s="205">
        <f t="shared" si="20"/>
        <v>2341.7100000000005</v>
      </c>
      <c r="AJ33" s="205"/>
      <c r="AK33" s="255"/>
    </row>
    <row r="34" spans="2:39" ht="24" customHeight="1" x14ac:dyDescent="0.25">
      <c r="B34" s="171">
        <v>17</v>
      </c>
      <c r="C34" s="161" t="s">
        <v>489</v>
      </c>
      <c r="D34" s="191" t="s">
        <v>133</v>
      </c>
      <c r="E34" s="191"/>
      <c r="F34" s="191">
        <v>15</v>
      </c>
      <c r="G34" s="204">
        <v>100</v>
      </c>
      <c r="H34" s="205">
        <f>F34*G34</f>
        <v>1500</v>
      </c>
      <c r="I34" s="206">
        <v>0</v>
      </c>
      <c r="J34" s="206">
        <v>0</v>
      </c>
      <c r="K34" s="206">
        <v>0</v>
      </c>
      <c r="L34" s="206">
        <v>0</v>
      </c>
      <c r="M34" s="206">
        <v>0</v>
      </c>
      <c r="N34" s="205">
        <v>0</v>
      </c>
      <c r="O34" s="205">
        <f t="shared" si="21"/>
        <v>1500</v>
      </c>
      <c r="P34" s="207"/>
      <c r="Q34" s="205">
        <f>IF(G34=47.16,0,IF(G34&gt;47.16,L34*0.5,0))</f>
        <v>0</v>
      </c>
      <c r="R34" s="205">
        <f t="shared" si="22"/>
        <v>1500</v>
      </c>
      <c r="S34" s="205">
        <f>VLOOKUP(R34,TARIFA1,1)</f>
        <v>318.01</v>
      </c>
      <c r="T34" s="205">
        <f t="shared" si="23"/>
        <v>1181.99</v>
      </c>
      <c r="U34" s="208">
        <f>VLOOKUP(R34,TARIFA1,3)</f>
        <v>6.4000000000000001E-2</v>
      </c>
      <c r="V34" s="205">
        <f t="shared" si="24"/>
        <v>75.647360000000006</v>
      </c>
      <c r="W34" s="205">
        <f>VLOOKUP(R34,TARIFA1,2)</f>
        <v>6.15</v>
      </c>
      <c r="X34" s="205">
        <f t="shared" si="25"/>
        <v>81.797360000000012</v>
      </c>
      <c r="Y34" s="205">
        <f>VLOOKUP(R34,Credito1,2)</f>
        <v>200.7</v>
      </c>
      <c r="Z34" s="205">
        <f t="shared" si="26"/>
        <v>-118.9</v>
      </c>
      <c r="AA34" s="209"/>
      <c r="AB34" s="205">
        <f t="shared" si="27"/>
        <v>118.9</v>
      </c>
      <c r="AC34" s="205">
        <f t="shared" si="28"/>
        <v>0</v>
      </c>
      <c r="AD34" s="205">
        <v>0</v>
      </c>
      <c r="AE34" s="205">
        <v>0</v>
      </c>
      <c r="AF34" s="205">
        <v>0</v>
      </c>
      <c r="AG34" s="281">
        <v>0</v>
      </c>
      <c r="AH34" s="205">
        <f t="shared" si="29"/>
        <v>0</v>
      </c>
      <c r="AI34" s="205">
        <f t="shared" si="20"/>
        <v>1618.9</v>
      </c>
      <c r="AJ34" s="205"/>
      <c r="AK34" s="255"/>
    </row>
    <row r="35" spans="2:39" ht="24" customHeight="1" x14ac:dyDescent="0.25">
      <c r="B35" s="171">
        <v>18</v>
      </c>
      <c r="C35" s="161" t="s">
        <v>404</v>
      </c>
      <c r="D35" s="191" t="s">
        <v>121</v>
      </c>
      <c r="E35" s="176"/>
      <c r="F35" s="191">
        <v>15</v>
      </c>
      <c r="G35" s="204">
        <v>100</v>
      </c>
      <c r="H35" s="205">
        <f>F35*G35</f>
        <v>1500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5">
        <v>0</v>
      </c>
      <c r="O35" s="205">
        <f t="shared" si="21"/>
        <v>1500</v>
      </c>
      <c r="P35" s="207"/>
      <c r="Q35" s="205">
        <f>IF(G35=47.16,0,IF(G35&gt;47.16,L35*0.5,0))</f>
        <v>0</v>
      </c>
      <c r="R35" s="205">
        <f t="shared" si="22"/>
        <v>1500</v>
      </c>
      <c r="S35" s="205">
        <f>VLOOKUP(R35,TARIFA1,1)</f>
        <v>318.01</v>
      </c>
      <c r="T35" s="205">
        <f t="shared" si="23"/>
        <v>1181.99</v>
      </c>
      <c r="U35" s="208">
        <f>VLOOKUP(R35,TARIFA1,3)</f>
        <v>6.4000000000000001E-2</v>
      </c>
      <c r="V35" s="205">
        <f t="shared" si="24"/>
        <v>75.647360000000006</v>
      </c>
      <c r="W35" s="205">
        <f>VLOOKUP(R35,TARIFA1,2)</f>
        <v>6.15</v>
      </c>
      <c r="X35" s="205">
        <f t="shared" si="25"/>
        <v>81.797360000000012</v>
      </c>
      <c r="Y35" s="205">
        <f>VLOOKUP(R35,Credito1,2)</f>
        <v>200.7</v>
      </c>
      <c r="Z35" s="205">
        <f t="shared" si="26"/>
        <v>-118.9</v>
      </c>
      <c r="AA35" s="209"/>
      <c r="AB35" s="205">
        <f t="shared" si="27"/>
        <v>118.9</v>
      </c>
      <c r="AC35" s="205">
        <f t="shared" si="28"/>
        <v>0</v>
      </c>
      <c r="AD35" s="205">
        <v>0</v>
      </c>
      <c r="AE35" s="205">
        <v>0</v>
      </c>
      <c r="AF35" s="205">
        <v>0</v>
      </c>
      <c r="AG35" s="281">
        <v>0</v>
      </c>
      <c r="AH35" s="205">
        <f t="shared" si="29"/>
        <v>0</v>
      </c>
      <c r="AI35" s="205">
        <f t="shared" si="20"/>
        <v>1618.9</v>
      </c>
      <c r="AJ35" s="205"/>
      <c r="AK35" s="255"/>
    </row>
    <row r="36" spans="2:39" ht="24" customHeight="1" x14ac:dyDescent="0.25">
      <c r="B36" s="171"/>
      <c r="C36" s="161" t="s">
        <v>523</v>
      </c>
      <c r="D36" s="191" t="s">
        <v>333</v>
      </c>
      <c r="E36" s="176"/>
      <c r="F36" s="355">
        <v>15</v>
      </c>
      <c r="G36" s="356">
        <v>618</v>
      </c>
      <c r="H36" s="205">
        <f>F36*G36</f>
        <v>9270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5">
        <v>0</v>
      </c>
      <c r="O36" s="205">
        <f t="shared" si="21"/>
        <v>9270</v>
      </c>
      <c r="P36" s="207"/>
      <c r="Q36" s="205">
        <f>IF(G36=47.16,0,IF(G36&gt;47.16,L36*0.5,0))</f>
        <v>0</v>
      </c>
      <c r="R36" s="205">
        <f t="shared" si="22"/>
        <v>9270</v>
      </c>
      <c r="S36" s="205">
        <f>VLOOKUP(R36,TARIFA1,1)</f>
        <v>6602.71</v>
      </c>
      <c r="T36" s="205">
        <f t="shared" si="23"/>
        <v>2667.29</v>
      </c>
      <c r="U36" s="208">
        <f>VLOOKUP(R36,TARIFA1,3)</f>
        <v>0.21360000000000001</v>
      </c>
      <c r="V36" s="205">
        <f t="shared" si="24"/>
        <v>569.73314400000004</v>
      </c>
      <c r="W36" s="205">
        <f>VLOOKUP(R36,TARIFA1,2)</f>
        <v>699.3</v>
      </c>
      <c r="X36" s="205">
        <f t="shared" si="25"/>
        <v>1269.033144</v>
      </c>
      <c r="Y36" s="205">
        <f>VLOOKUP(R36,Credito1,2)</f>
        <v>0</v>
      </c>
      <c r="Z36" s="205">
        <f t="shared" si="26"/>
        <v>1269.03</v>
      </c>
      <c r="AA36" s="209"/>
      <c r="AB36" s="205">
        <f t="shared" si="27"/>
        <v>0</v>
      </c>
      <c r="AC36" s="205">
        <f t="shared" si="28"/>
        <v>1269.03</v>
      </c>
      <c r="AD36" s="205"/>
      <c r="AE36" s="205"/>
      <c r="AF36" s="205"/>
      <c r="AG36" s="281"/>
      <c r="AH36" s="205">
        <f t="shared" si="29"/>
        <v>1269.03</v>
      </c>
      <c r="AI36" s="205">
        <f t="shared" si="20"/>
        <v>8000.97</v>
      </c>
      <c r="AJ36" s="205"/>
      <c r="AK36" s="255"/>
    </row>
    <row r="37" spans="2:39" ht="24" customHeight="1" x14ac:dyDescent="0.25">
      <c r="B37" s="171"/>
      <c r="C37" s="161"/>
      <c r="D37" s="275" t="s">
        <v>111</v>
      </c>
      <c r="E37" s="443"/>
      <c r="F37" s="444"/>
      <c r="G37" s="445"/>
      <c r="H37" s="280">
        <f>SUM(H32:H36)</f>
        <v>18834.900000000001</v>
      </c>
      <c r="I37" s="280">
        <f t="shared" ref="I37:AI37" si="30">SUM(I32:I36)</f>
        <v>0</v>
      </c>
      <c r="J37" s="280">
        <f t="shared" si="30"/>
        <v>0</v>
      </c>
      <c r="K37" s="280">
        <f t="shared" si="30"/>
        <v>0</v>
      </c>
      <c r="L37" s="280">
        <f t="shared" si="30"/>
        <v>0</v>
      </c>
      <c r="M37" s="280">
        <f t="shared" si="30"/>
        <v>0</v>
      </c>
      <c r="N37" s="280">
        <f t="shared" si="30"/>
        <v>0</v>
      </c>
      <c r="O37" s="280">
        <f t="shared" si="30"/>
        <v>18834.900000000001</v>
      </c>
      <c r="P37" s="280">
        <f t="shared" si="30"/>
        <v>0</v>
      </c>
      <c r="Q37" s="205">
        <f t="shared" si="30"/>
        <v>0</v>
      </c>
      <c r="R37" s="280">
        <f t="shared" si="30"/>
        <v>18834.900000000001</v>
      </c>
      <c r="S37" s="280">
        <f t="shared" si="30"/>
        <v>10256.150000000001</v>
      </c>
      <c r="T37" s="280">
        <f t="shared" si="30"/>
        <v>8578.75</v>
      </c>
      <c r="U37" s="280">
        <f t="shared" si="30"/>
        <v>0.51439999999999997</v>
      </c>
      <c r="V37" s="280">
        <f t="shared" si="30"/>
        <v>1018.2027760000001</v>
      </c>
      <c r="W37" s="280">
        <f t="shared" si="30"/>
        <v>876.3</v>
      </c>
      <c r="X37" s="280">
        <f t="shared" si="30"/>
        <v>1894.502776</v>
      </c>
      <c r="Y37" s="280">
        <f t="shared" si="30"/>
        <v>576.15</v>
      </c>
      <c r="Z37" s="280">
        <f>SUM(Z32:Z36)</f>
        <v>1318.35</v>
      </c>
      <c r="AA37" s="280">
        <f t="shared" si="30"/>
        <v>0</v>
      </c>
      <c r="AB37" s="280">
        <f t="shared" si="30"/>
        <v>279.56</v>
      </c>
      <c r="AC37" s="280">
        <f t="shared" si="30"/>
        <v>1597.9099999999999</v>
      </c>
      <c r="AD37" s="280">
        <f t="shared" si="30"/>
        <v>0</v>
      </c>
      <c r="AE37" s="280">
        <f t="shared" si="30"/>
        <v>0</v>
      </c>
      <c r="AF37" s="280">
        <f t="shared" si="30"/>
        <v>0</v>
      </c>
      <c r="AG37" s="280">
        <f t="shared" si="30"/>
        <v>0</v>
      </c>
      <c r="AH37" s="280">
        <f t="shared" si="30"/>
        <v>1597.9099999999999</v>
      </c>
      <c r="AI37" s="280">
        <f t="shared" si="30"/>
        <v>17516.55</v>
      </c>
      <c r="AJ37" s="171"/>
      <c r="AK37" s="255"/>
      <c r="AL37" s="108">
        <f>O37+AB37-AH37</f>
        <v>17516.550000000003</v>
      </c>
    </row>
    <row r="38" spans="2:39" ht="26.25" customHeight="1" x14ac:dyDescent="0.25">
      <c r="B38" s="426" t="s">
        <v>118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255"/>
    </row>
    <row r="39" spans="2:39" s="135" customFormat="1" ht="26.25" customHeight="1" x14ac:dyDescent="0.3">
      <c r="B39" s="160">
        <v>19</v>
      </c>
      <c r="C39" s="160" t="s">
        <v>455</v>
      </c>
      <c r="D39" s="160" t="s">
        <v>119</v>
      </c>
      <c r="E39" s="160"/>
      <c r="F39" s="160">
        <v>15</v>
      </c>
      <c r="G39" s="160">
        <v>101.47</v>
      </c>
      <c r="H39" s="271">
        <f t="shared" ref="H39:H45" si="31">F39*G39</f>
        <v>1522.05</v>
      </c>
      <c r="I39" s="160">
        <v>0</v>
      </c>
      <c r="J39" s="160">
        <v>0</v>
      </c>
      <c r="K39" s="160">
        <v>0</v>
      </c>
      <c r="L39" s="160">
        <v>0</v>
      </c>
      <c r="M39" s="160">
        <v>0</v>
      </c>
      <c r="N39" s="160">
        <v>0</v>
      </c>
      <c r="O39" s="205">
        <f t="shared" ref="O39:O45" si="32">SUM(H39:N39)</f>
        <v>1522.05</v>
      </c>
      <c r="P39" s="160"/>
      <c r="Q39" s="160">
        <v>0</v>
      </c>
      <c r="R39" s="205">
        <f>H39+I39+J39+M39+Q39+K39</f>
        <v>1522.05</v>
      </c>
      <c r="S39" s="205">
        <f t="shared" ref="S39:S45" si="33">VLOOKUP(R39,TARIFA1,1)</f>
        <v>318.01</v>
      </c>
      <c r="T39" s="205">
        <f>R39-S39</f>
        <v>1204.04</v>
      </c>
      <c r="U39" s="208">
        <f t="shared" ref="U39:U45" si="34">VLOOKUP(R39,TARIFA1,3)</f>
        <v>6.4000000000000001E-2</v>
      </c>
      <c r="V39" s="205">
        <f>T39*U39</f>
        <v>77.05856</v>
      </c>
      <c r="W39" s="205">
        <f t="shared" ref="W39:W45" si="35">VLOOKUP(R39,TARIFA1,2)</f>
        <v>6.15</v>
      </c>
      <c r="X39" s="205">
        <f>V39+W39</f>
        <v>83.208560000000006</v>
      </c>
      <c r="Y39" s="205">
        <f t="shared" ref="Y39:Y45" si="36">VLOOKUP(R39,Credito1,2)</f>
        <v>200.7</v>
      </c>
      <c r="Z39" s="205">
        <f>ROUND(X39-Y39,2)</f>
        <v>-117.49</v>
      </c>
      <c r="AA39" s="160"/>
      <c r="AB39" s="205">
        <f>-IF(Z39&gt;0,0,Z39)</f>
        <v>117.49</v>
      </c>
      <c r="AC39" s="205">
        <f>IF(Z39&lt;0,0,Z39)</f>
        <v>0</v>
      </c>
      <c r="AD39" s="205">
        <v>0</v>
      </c>
      <c r="AE39" s="206">
        <v>0</v>
      </c>
      <c r="AF39" s="206">
        <v>0</v>
      </c>
      <c r="AG39" s="281">
        <v>0</v>
      </c>
      <c r="AH39" s="205">
        <f>SUM(AC39:AG39)</f>
        <v>0</v>
      </c>
      <c r="AI39" s="271">
        <f>O39+AB39-AH39</f>
        <v>1639.54</v>
      </c>
      <c r="AJ39" s="160"/>
      <c r="AK39" s="255"/>
    </row>
    <row r="40" spans="2:39" ht="20.25" customHeight="1" x14ac:dyDescent="0.25">
      <c r="B40" s="171">
        <v>20</v>
      </c>
      <c r="C40" s="161" t="s">
        <v>425</v>
      </c>
      <c r="D40" s="191" t="s">
        <v>119</v>
      </c>
      <c r="E40" s="191"/>
      <c r="F40" s="191">
        <v>15</v>
      </c>
      <c r="G40" s="204">
        <v>101.47</v>
      </c>
      <c r="H40" s="271">
        <f t="shared" si="31"/>
        <v>1522.05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5">
        <f t="shared" si="32"/>
        <v>1522.05</v>
      </c>
      <c r="P40" s="207"/>
      <c r="Q40" s="205">
        <f>IF(G40=47.16,0,IF(G40&gt;47.16,L40*0.5,0))</f>
        <v>0</v>
      </c>
      <c r="R40" s="205">
        <f>H40+I40+J40+M40+Q40+K40</f>
        <v>1522.05</v>
      </c>
      <c r="S40" s="205">
        <f t="shared" si="33"/>
        <v>318.01</v>
      </c>
      <c r="T40" s="205">
        <f>R40-S40</f>
        <v>1204.04</v>
      </c>
      <c r="U40" s="208">
        <f t="shared" si="34"/>
        <v>6.4000000000000001E-2</v>
      </c>
      <c r="V40" s="205">
        <f>T40*U40</f>
        <v>77.05856</v>
      </c>
      <c r="W40" s="205">
        <f t="shared" si="35"/>
        <v>6.15</v>
      </c>
      <c r="X40" s="205">
        <f>V40+W40</f>
        <v>83.208560000000006</v>
      </c>
      <c r="Y40" s="205">
        <f t="shared" si="36"/>
        <v>200.7</v>
      </c>
      <c r="Z40" s="205">
        <f>ROUND(X40-Y40,2)</f>
        <v>-117.49</v>
      </c>
      <c r="AA40" s="209"/>
      <c r="AB40" s="205">
        <f t="shared" ref="AB40:AB44" si="37">-IF(Z40&gt;0,0,Z40)</f>
        <v>117.49</v>
      </c>
      <c r="AC40" s="205">
        <f>IF(Z40&lt;0,0,Z40)</f>
        <v>0</v>
      </c>
      <c r="AD40" s="205">
        <v>0</v>
      </c>
      <c r="AE40" s="206">
        <v>0</v>
      </c>
      <c r="AF40" s="206">
        <v>0</v>
      </c>
      <c r="AG40" s="281">
        <v>0</v>
      </c>
      <c r="AH40" s="205">
        <f>SUM(AC40:AG40)</f>
        <v>0</v>
      </c>
      <c r="AI40" s="271">
        <f t="shared" ref="AI40:AI45" si="38">O40+AB40-AH40</f>
        <v>1639.54</v>
      </c>
      <c r="AJ40" s="205"/>
      <c r="AK40" s="255"/>
    </row>
    <row r="41" spans="2:39" ht="21" customHeight="1" x14ac:dyDescent="0.25">
      <c r="B41" s="171">
        <v>21</v>
      </c>
      <c r="C41" s="161" t="s">
        <v>353</v>
      </c>
      <c r="D41" s="191" t="s">
        <v>121</v>
      </c>
      <c r="E41" s="191"/>
      <c r="F41" s="191">
        <v>15</v>
      </c>
      <c r="G41" s="204">
        <v>100</v>
      </c>
      <c r="H41" s="271">
        <f t="shared" si="31"/>
        <v>1500</v>
      </c>
      <c r="I41" s="206">
        <v>0</v>
      </c>
      <c r="J41" s="206">
        <v>0</v>
      </c>
      <c r="K41" s="206">
        <v>0</v>
      </c>
      <c r="L41" s="206">
        <v>0</v>
      </c>
      <c r="M41" s="206">
        <v>0</v>
      </c>
      <c r="N41" s="206">
        <v>0</v>
      </c>
      <c r="O41" s="205">
        <f t="shared" si="32"/>
        <v>1500</v>
      </c>
      <c r="P41" s="207"/>
      <c r="Q41" s="205">
        <v>0</v>
      </c>
      <c r="R41" s="205">
        <f t="shared" ref="R41:R44" si="39">H41+I41+J41+M41+Q41+K41</f>
        <v>1500</v>
      </c>
      <c r="S41" s="205">
        <f t="shared" si="33"/>
        <v>318.01</v>
      </c>
      <c r="T41" s="205">
        <f>R41-S41</f>
        <v>1181.99</v>
      </c>
      <c r="U41" s="208">
        <f t="shared" si="34"/>
        <v>6.4000000000000001E-2</v>
      </c>
      <c r="V41" s="205">
        <f>T41*U41</f>
        <v>75.647360000000006</v>
      </c>
      <c r="W41" s="205">
        <f t="shared" si="35"/>
        <v>6.15</v>
      </c>
      <c r="X41" s="205">
        <f>V41+W41</f>
        <v>81.797360000000012</v>
      </c>
      <c r="Y41" s="205">
        <f t="shared" si="36"/>
        <v>200.7</v>
      </c>
      <c r="Z41" s="205">
        <f t="shared" ref="Z41:Z44" si="40">ROUND(X41-Y41,2)</f>
        <v>-118.9</v>
      </c>
      <c r="AA41" s="209"/>
      <c r="AB41" s="205">
        <f t="shared" si="37"/>
        <v>118.9</v>
      </c>
      <c r="AC41" s="205">
        <f>IF(Z41&lt;0,0,Z41)</f>
        <v>0</v>
      </c>
      <c r="AD41" s="205">
        <v>0</v>
      </c>
      <c r="AE41" s="206">
        <v>0</v>
      </c>
      <c r="AF41" s="206">
        <v>0</v>
      </c>
      <c r="AG41" s="281">
        <v>0</v>
      </c>
      <c r="AH41" s="205">
        <f t="shared" ref="AH41:AH44" si="41">SUM(AC41:AG41)</f>
        <v>0</v>
      </c>
      <c r="AI41" s="271">
        <f t="shared" si="38"/>
        <v>1618.9</v>
      </c>
      <c r="AJ41" s="205"/>
      <c r="AK41" s="255"/>
    </row>
    <row r="42" spans="2:39" ht="21" customHeight="1" x14ac:dyDescent="0.25">
      <c r="B42" s="171">
        <v>22</v>
      </c>
      <c r="C42" s="161" t="s">
        <v>509</v>
      </c>
      <c r="D42" s="191" t="s">
        <v>121</v>
      </c>
      <c r="E42" s="191"/>
      <c r="F42" s="191">
        <v>15</v>
      </c>
      <c r="G42" s="204">
        <v>66.67</v>
      </c>
      <c r="H42" s="271">
        <f t="shared" si="31"/>
        <v>1000.0500000000001</v>
      </c>
      <c r="I42" s="206">
        <v>0</v>
      </c>
      <c r="J42" s="206">
        <v>0</v>
      </c>
      <c r="K42" s="206">
        <v>0</v>
      </c>
      <c r="L42" s="206">
        <v>0</v>
      </c>
      <c r="M42" s="206">
        <v>0</v>
      </c>
      <c r="N42" s="206">
        <v>0</v>
      </c>
      <c r="O42" s="205">
        <f t="shared" si="32"/>
        <v>1000.0500000000001</v>
      </c>
      <c r="P42" s="207"/>
      <c r="Q42" s="205">
        <f>IF(G42=47.16,0,IF(G42&gt;47.16,L42*0.5,0))</f>
        <v>0</v>
      </c>
      <c r="R42" s="205">
        <f t="shared" si="39"/>
        <v>1000.0500000000001</v>
      </c>
      <c r="S42" s="205">
        <f t="shared" si="33"/>
        <v>318.01</v>
      </c>
      <c r="T42" s="205">
        <f>R42-S42</f>
        <v>682.04000000000008</v>
      </c>
      <c r="U42" s="208">
        <f t="shared" si="34"/>
        <v>6.4000000000000001E-2</v>
      </c>
      <c r="V42" s="205">
        <f>T42*U42</f>
        <v>43.650560000000006</v>
      </c>
      <c r="W42" s="205">
        <f t="shared" si="35"/>
        <v>6.15</v>
      </c>
      <c r="X42" s="205">
        <f>V42+W42</f>
        <v>49.800560000000004</v>
      </c>
      <c r="Y42" s="205">
        <f t="shared" si="36"/>
        <v>200.7</v>
      </c>
      <c r="Z42" s="205">
        <f t="shared" si="40"/>
        <v>-150.9</v>
      </c>
      <c r="AA42" s="209"/>
      <c r="AB42" s="205">
        <f t="shared" si="37"/>
        <v>150.9</v>
      </c>
      <c r="AC42" s="205">
        <f>IF(Z42&lt;0,0,Z42)</f>
        <v>0</v>
      </c>
      <c r="AD42" s="205">
        <v>0</v>
      </c>
      <c r="AE42" s="206">
        <v>0</v>
      </c>
      <c r="AF42" s="206">
        <v>0</v>
      </c>
      <c r="AG42" s="281">
        <v>0</v>
      </c>
      <c r="AH42" s="205">
        <f t="shared" si="41"/>
        <v>0</v>
      </c>
      <c r="AI42" s="271">
        <f t="shared" si="38"/>
        <v>1150.95</v>
      </c>
      <c r="AJ42" s="205"/>
      <c r="AK42" s="255"/>
    </row>
    <row r="43" spans="2:39" ht="21" customHeight="1" x14ac:dyDescent="0.25">
      <c r="B43" s="171">
        <v>23</v>
      </c>
      <c r="C43" s="161" t="s">
        <v>466</v>
      </c>
      <c r="D43" s="191" t="s">
        <v>121</v>
      </c>
      <c r="E43" s="191"/>
      <c r="F43" s="191">
        <v>15</v>
      </c>
      <c r="G43" s="204">
        <v>66.67</v>
      </c>
      <c r="H43" s="271">
        <f t="shared" si="31"/>
        <v>1000.0500000000001</v>
      </c>
      <c r="I43" s="206">
        <v>0</v>
      </c>
      <c r="J43" s="206">
        <v>0</v>
      </c>
      <c r="K43" s="206">
        <v>0</v>
      </c>
      <c r="L43" s="206">
        <v>0</v>
      </c>
      <c r="M43" s="206">
        <v>0</v>
      </c>
      <c r="N43" s="206">
        <v>0</v>
      </c>
      <c r="O43" s="205">
        <f t="shared" si="32"/>
        <v>1000.0500000000001</v>
      </c>
      <c r="P43" s="207"/>
      <c r="Q43" s="205">
        <v>0</v>
      </c>
      <c r="R43" s="205">
        <f t="shared" si="39"/>
        <v>1000.0500000000001</v>
      </c>
      <c r="S43" s="205">
        <f t="shared" si="33"/>
        <v>318.01</v>
      </c>
      <c r="T43" s="205">
        <f t="shared" ref="T43:T44" si="42">R43-S43</f>
        <v>682.04000000000008</v>
      </c>
      <c r="U43" s="208">
        <f t="shared" si="34"/>
        <v>6.4000000000000001E-2</v>
      </c>
      <c r="V43" s="205">
        <f t="shared" ref="V43:V44" si="43">T43*U43</f>
        <v>43.650560000000006</v>
      </c>
      <c r="W43" s="205">
        <f t="shared" si="35"/>
        <v>6.15</v>
      </c>
      <c r="X43" s="205">
        <f t="shared" ref="X43:X44" si="44">V43+W43</f>
        <v>49.800560000000004</v>
      </c>
      <c r="Y43" s="205">
        <f t="shared" si="36"/>
        <v>200.7</v>
      </c>
      <c r="Z43" s="205">
        <f t="shared" si="40"/>
        <v>-150.9</v>
      </c>
      <c r="AA43" s="209"/>
      <c r="AB43" s="205">
        <f t="shared" si="37"/>
        <v>150.9</v>
      </c>
      <c r="AC43" s="205">
        <f t="shared" ref="AC43:AC44" si="45">IF(Z43&lt;0,0,Z43)</f>
        <v>0</v>
      </c>
      <c r="AD43" s="205">
        <v>0</v>
      </c>
      <c r="AE43" s="206">
        <v>0</v>
      </c>
      <c r="AF43" s="206">
        <v>0</v>
      </c>
      <c r="AG43" s="281">
        <v>0</v>
      </c>
      <c r="AH43" s="205">
        <f t="shared" si="41"/>
        <v>0</v>
      </c>
      <c r="AI43" s="271">
        <f t="shared" si="38"/>
        <v>1150.95</v>
      </c>
      <c r="AJ43" s="205"/>
      <c r="AK43" s="255"/>
    </row>
    <row r="44" spans="2:39" ht="21" customHeight="1" x14ac:dyDescent="0.25">
      <c r="B44" s="171">
        <v>24</v>
      </c>
      <c r="C44" s="161" t="s">
        <v>415</v>
      </c>
      <c r="D44" s="191" t="s">
        <v>121</v>
      </c>
      <c r="E44" s="176"/>
      <c r="F44" s="191">
        <v>15</v>
      </c>
      <c r="G44" s="204">
        <v>120</v>
      </c>
      <c r="H44" s="271">
        <f t="shared" si="31"/>
        <v>1800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5">
        <f t="shared" si="32"/>
        <v>1800</v>
      </c>
      <c r="P44" s="207"/>
      <c r="Q44" s="205">
        <v>0</v>
      </c>
      <c r="R44" s="205">
        <f t="shared" si="39"/>
        <v>1800</v>
      </c>
      <c r="S44" s="205">
        <f t="shared" si="33"/>
        <v>318.01</v>
      </c>
      <c r="T44" s="205">
        <f t="shared" si="42"/>
        <v>1481.99</v>
      </c>
      <c r="U44" s="208">
        <f t="shared" si="34"/>
        <v>6.4000000000000001E-2</v>
      </c>
      <c r="V44" s="205">
        <f t="shared" si="43"/>
        <v>94.847360000000009</v>
      </c>
      <c r="W44" s="205">
        <f t="shared" si="35"/>
        <v>6.15</v>
      </c>
      <c r="X44" s="205">
        <f t="shared" si="44"/>
        <v>100.99736000000001</v>
      </c>
      <c r="Y44" s="205">
        <f t="shared" si="36"/>
        <v>188.7</v>
      </c>
      <c r="Z44" s="205">
        <f t="shared" si="40"/>
        <v>-87.7</v>
      </c>
      <c r="AA44" s="209"/>
      <c r="AB44" s="205">
        <f t="shared" si="37"/>
        <v>87.7</v>
      </c>
      <c r="AC44" s="205">
        <f t="shared" si="45"/>
        <v>0</v>
      </c>
      <c r="AD44" s="205">
        <v>0</v>
      </c>
      <c r="AE44" s="206">
        <v>0</v>
      </c>
      <c r="AF44" s="206">
        <v>0</v>
      </c>
      <c r="AG44" s="281">
        <v>0</v>
      </c>
      <c r="AH44" s="205">
        <f t="shared" si="41"/>
        <v>0</v>
      </c>
      <c r="AI44" s="271">
        <f t="shared" si="38"/>
        <v>1887.7</v>
      </c>
      <c r="AJ44" s="205"/>
      <c r="AK44" s="255"/>
    </row>
    <row r="45" spans="2:39" ht="21" customHeight="1" x14ac:dyDescent="0.25">
      <c r="B45" s="171">
        <v>25</v>
      </c>
      <c r="C45" s="161" t="s">
        <v>441</v>
      </c>
      <c r="D45" s="191" t="s">
        <v>133</v>
      </c>
      <c r="E45" s="176"/>
      <c r="F45" s="191">
        <v>15</v>
      </c>
      <c r="G45" s="204">
        <v>108.6</v>
      </c>
      <c r="H45" s="271">
        <f t="shared" si="31"/>
        <v>1629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0</v>
      </c>
      <c r="O45" s="205">
        <f t="shared" si="32"/>
        <v>1629</v>
      </c>
      <c r="P45" s="207"/>
      <c r="Q45" s="205">
        <f>IF(G45=47.16,0,IF(G45&gt;47.16,L45*0.5,0))</f>
        <v>0</v>
      </c>
      <c r="R45" s="205">
        <f>H45+I45+J45+M45+Q45+K45</f>
        <v>1629</v>
      </c>
      <c r="S45" s="205">
        <f t="shared" si="33"/>
        <v>318.01</v>
      </c>
      <c r="T45" s="205">
        <f>R45-S45</f>
        <v>1310.99</v>
      </c>
      <c r="U45" s="208">
        <f t="shared" si="34"/>
        <v>6.4000000000000001E-2</v>
      </c>
      <c r="V45" s="205">
        <f>T45*U45</f>
        <v>83.903360000000006</v>
      </c>
      <c r="W45" s="205">
        <f t="shared" si="35"/>
        <v>6.15</v>
      </c>
      <c r="X45" s="205">
        <f>V45+W45</f>
        <v>90.053360000000012</v>
      </c>
      <c r="Y45" s="205">
        <f t="shared" si="36"/>
        <v>200.7</v>
      </c>
      <c r="Z45" s="205">
        <f>ROUND(X45-Y45,2)</f>
        <v>-110.65</v>
      </c>
      <c r="AA45" s="209"/>
      <c r="AB45" s="205">
        <f>-IF(Z45&gt;0,0,Z45)</f>
        <v>110.65</v>
      </c>
      <c r="AC45" s="205">
        <f>IF(Z45&lt;0,0,Z45)</f>
        <v>0</v>
      </c>
      <c r="AD45" s="205">
        <v>0</v>
      </c>
      <c r="AE45" s="206">
        <v>0</v>
      </c>
      <c r="AF45" s="206">
        <v>0</v>
      </c>
      <c r="AG45" s="281">
        <v>0</v>
      </c>
      <c r="AH45" s="205">
        <f>SUM(AC45:AG45)</f>
        <v>0</v>
      </c>
      <c r="AI45" s="271">
        <f t="shared" si="38"/>
        <v>1739.65</v>
      </c>
      <c r="AJ45" s="205"/>
      <c r="AK45" s="255"/>
    </row>
    <row r="46" spans="2:39" ht="21" customHeight="1" x14ac:dyDescent="0.25">
      <c r="B46" s="171"/>
      <c r="C46" s="161"/>
      <c r="D46" s="275" t="s">
        <v>111</v>
      </c>
      <c r="E46" s="443"/>
      <c r="F46" s="444"/>
      <c r="G46" s="445"/>
      <c r="H46" s="280">
        <f>SUM(H39:H45)</f>
        <v>9973.2000000000007</v>
      </c>
      <c r="I46" s="280">
        <f t="shared" ref="I46:N46" si="46">SUM(I40:I45)</f>
        <v>0</v>
      </c>
      <c r="J46" s="205">
        <f t="shared" si="46"/>
        <v>0</v>
      </c>
      <c r="K46" s="280">
        <f t="shared" si="46"/>
        <v>0</v>
      </c>
      <c r="L46" s="205">
        <f t="shared" si="46"/>
        <v>0</v>
      </c>
      <c r="M46" s="280">
        <f t="shared" si="46"/>
        <v>0</v>
      </c>
      <c r="N46" s="205">
        <f t="shared" si="46"/>
        <v>0</v>
      </c>
      <c r="O46" s="280">
        <f>SUM(O40,O42,O39,O45,O43,O44,O41)</f>
        <v>9973.2000000000007</v>
      </c>
      <c r="P46" s="280">
        <f t="shared" ref="P46:AF46" si="47">SUM(P40,P42,P39,P45,P43,P44,P41)</f>
        <v>0</v>
      </c>
      <c r="Q46" s="205">
        <f t="shared" si="47"/>
        <v>0</v>
      </c>
      <c r="R46" s="280">
        <f t="shared" si="47"/>
        <v>9973.2000000000007</v>
      </c>
      <c r="S46" s="280">
        <f t="shared" si="47"/>
        <v>2226.0699999999997</v>
      </c>
      <c r="T46" s="280">
        <f t="shared" si="47"/>
        <v>7747.1299999999992</v>
      </c>
      <c r="U46" s="280">
        <f t="shared" si="47"/>
        <v>0.44800000000000001</v>
      </c>
      <c r="V46" s="280">
        <f t="shared" si="47"/>
        <v>495.81631999999996</v>
      </c>
      <c r="W46" s="280">
        <f t="shared" si="47"/>
        <v>43.05</v>
      </c>
      <c r="X46" s="280">
        <f t="shared" si="47"/>
        <v>538.86632000000009</v>
      </c>
      <c r="Y46" s="280">
        <f t="shared" si="47"/>
        <v>1392.9</v>
      </c>
      <c r="Z46" s="280">
        <f t="shared" si="47"/>
        <v>-854.03</v>
      </c>
      <c r="AA46" s="280">
        <f t="shared" si="47"/>
        <v>0</v>
      </c>
      <c r="AB46" s="280">
        <f>SUM(AB40,AB42,AB39,AB45,AB43,AB44,AB41)</f>
        <v>854.03</v>
      </c>
      <c r="AC46" s="280">
        <f>SUM(AC40,AC42,AC39,AC45,AC43,AC44,AC41)</f>
        <v>0</v>
      </c>
      <c r="AD46" s="280">
        <f t="shared" si="47"/>
        <v>0</v>
      </c>
      <c r="AE46" s="280">
        <f t="shared" si="47"/>
        <v>0</v>
      </c>
      <c r="AF46" s="280">
        <f t="shared" si="47"/>
        <v>0</v>
      </c>
      <c r="AG46" s="280">
        <f>SUM(AG40,AG42,AG39,AG45,AG43,AG44,AG41)</f>
        <v>0</v>
      </c>
      <c r="AH46" s="280">
        <f>SUM(AH40,AH42,AH39,AH45,AH43,AH44,AH41)</f>
        <v>0</v>
      </c>
      <c r="AI46" s="280">
        <f>SUM(AI40,AI42,AI39,AI45,AI43,AI44,AI41)</f>
        <v>10827.23</v>
      </c>
      <c r="AJ46" s="171"/>
      <c r="AK46" s="255"/>
      <c r="AL46" s="108">
        <f>O46+AB46-AH46</f>
        <v>10827.230000000001</v>
      </c>
      <c r="AM46" s="136"/>
    </row>
    <row r="47" spans="2:39" ht="27" customHeight="1" x14ac:dyDescent="0.25">
      <c r="B47" s="426" t="s">
        <v>122</v>
      </c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6"/>
      <c r="AG47" s="426"/>
      <c r="AH47" s="426"/>
      <c r="AI47" s="426"/>
      <c r="AJ47" s="426"/>
      <c r="AK47" s="255"/>
    </row>
    <row r="48" spans="2:39" s="149" customFormat="1" ht="22.5" customHeight="1" x14ac:dyDescent="0.25">
      <c r="B48" s="272">
        <v>26</v>
      </c>
      <c r="C48" s="282" t="s">
        <v>359</v>
      </c>
      <c r="D48" s="273" t="s">
        <v>144</v>
      </c>
      <c r="E48" s="283"/>
      <c r="F48" s="273">
        <v>15</v>
      </c>
      <c r="G48" s="284">
        <v>122.87</v>
      </c>
      <c r="H48" s="285">
        <f t="shared" ref="H48:H61" si="48">F48*G48</f>
        <v>1843.0500000000002</v>
      </c>
      <c r="I48" s="286">
        <v>0</v>
      </c>
      <c r="J48" s="286">
        <v>0</v>
      </c>
      <c r="K48" s="286">
        <v>0</v>
      </c>
      <c r="L48" s="286">
        <v>0</v>
      </c>
      <c r="M48" s="286">
        <v>0</v>
      </c>
      <c r="N48" s="286">
        <v>0</v>
      </c>
      <c r="O48" s="285">
        <f>SUM(H48:N48)</f>
        <v>1843.0500000000002</v>
      </c>
      <c r="P48" s="287"/>
      <c r="Q48" s="285">
        <f>IF(G48=47.16,0,IF(G48&gt;47.16,L48*0.5,0))</f>
        <v>0</v>
      </c>
      <c r="R48" s="285">
        <f>H48+I48+J48+M48+Q48+K48</f>
        <v>1843.0500000000002</v>
      </c>
      <c r="S48" s="285">
        <f t="shared" ref="S48:S61" si="49">VLOOKUP(R48,TARIFA1,1)</f>
        <v>318.01</v>
      </c>
      <c r="T48" s="285">
        <f>R48-S48</f>
        <v>1525.0400000000002</v>
      </c>
      <c r="U48" s="288">
        <f t="shared" ref="U48:U61" si="50">VLOOKUP(R48,TARIFA1,3)</f>
        <v>6.4000000000000001E-2</v>
      </c>
      <c r="V48" s="285">
        <f>T48*U48</f>
        <v>97.602560000000011</v>
      </c>
      <c r="W48" s="285">
        <f t="shared" ref="W48:W61" si="51">VLOOKUP(R48,TARIFA1,2)</f>
        <v>6.15</v>
      </c>
      <c r="X48" s="285">
        <f>V48+W48</f>
        <v>103.75256000000002</v>
      </c>
      <c r="Y48" s="285">
        <f t="shared" ref="Y48:Y61" si="52">VLOOKUP(R48,Credito1,2)</f>
        <v>188.7</v>
      </c>
      <c r="Z48" s="285">
        <f>ROUND(X48-Y48,2)</f>
        <v>-84.95</v>
      </c>
      <c r="AA48" s="289"/>
      <c r="AB48" s="285">
        <f>-IF(Z48&gt;0,0,Z48)</f>
        <v>84.95</v>
      </c>
      <c r="AC48" s="285">
        <f>IF(Z48&lt;0,0,Z48)</f>
        <v>0</v>
      </c>
      <c r="AD48" s="285">
        <v>0</v>
      </c>
      <c r="AE48" s="286">
        <v>0</v>
      </c>
      <c r="AF48" s="286">
        <v>0</v>
      </c>
      <c r="AG48" s="290">
        <v>0</v>
      </c>
      <c r="AH48" s="285">
        <f>SUM(AC48:AG48)</f>
        <v>0</v>
      </c>
      <c r="AI48" s="285">
        <f>O48+AB48-AH48</f>
        <v>1928.0000000000002</v>
      </c>
      <c r="AJ48" s="285"/>
      <c r="AK48" s="291"/>
      <c r="AL48" s="150" t="s">
        <v>328</v>
      </c>
    </row>
    <row r="49" spans="2:38" ht="18" customHeight="1" x14ac:dyDescent="0.25">
      <c r="B49" s="171">
        <v>27</v>
      </c>
      <c r="C49" s="161" t="s">
        <v>476</v>
      </c>
      <c r="D49" s="191" t="s">
        <v>145</v>
      </c>
      <c r="E49" s="176"/>
      <c r="F49" s="191">
        <v>15</v>
      </c>
      <c r="G49" s="204">
        <v>154.33000000000001</v>
      </c>
      <c r="H49" s="205">
        <f t="shared" si="48"/>
        <v>2314.9500000000003</v>
      </c>
      <c r="I49" s="206">
        <v>0</v>
      </c>
      <c r="J49" s="206">
        <v>0</v>
      </c>
      <c r="K49" s="206">
        <v>0</v>
      </c>
      <c r="L49" s="206">
        <v>0</v>
      </c>
      <c r="M49" s="206">
        <v>0</v>
      </c>
      <c r="N49" s="206">
        <v>0</v>
      </c>
      <c r="O49" s="205">
        <f t="shared" ref="O49:O61" si="53">SUM(H49:N49)</f>
        <v>2314.9500000000003</v>
      </c>
      <c r="P49" s="207"/>
      <c r="Q49" s="205">
        <f>IF(G49=47.16,0,IF(G49&gt;47.16,L49*0.5,0))</f>
        <v>0</v>
      </c>
      <c r="R49" s="205">
        <f t="shared" ref="R49:R58" si="54">H49+I49+J49+M49+Q49+K49</f>
        <v>2314.9500000000003</v>
      </c>
      <c r="S49" s="205">
        <f t="shared" si="49"/>
        <v>318.01</v>
      </c>
      <c r="T49" s="205">
        <f>R49-S49</f>
        <v>1996.9400000000003</v>
      </c>
      <c r="U49" s="208">
        <f t="shared" si="50"/>
        <v>6.4000000000000001E-2</v>
      </c>
      <c r="V49" s="205">
        <f>T49*U49</f>
        <v>127.80416000000002</v>
      </c>
      <c r="W49" s="205">
        <f t="shared" si="51"/>
        <v>6.15</v>
      </c>
      <c r="X49" s="205">
        <f t="shared" ref="X49:X58" si="55">V49+W49</f>
        <v>133.95416000000003</v>
      </c>
      <c r="Y49" s="205">
        <f t="shared" si="52"/>
        <v>174.75</v>
      </c>
      <c r="Z49" s="205">
        <f t="shared" ref="Z49:Z55" si="56">ROUND(X49-Y49,2)</f>
        <v>-40.799999999999997</v>
      </c>
      <c r="AA49" s="209"/>
      <c r="AB49" s="205">
        <f>-IF(Z49&gt;0,0,Z49)</f>
        <v>40.799999999999997</v>
      </c>
      <c r="AC49" s="205">
        <f>IF(Z49&lt;0,0,Z49)</f>
        <v>0</v>
      </c>
      <c r="AD49" s="205">
        <v>0</v>
      </c>
      <c r="AE49" s="206">
        <v>0</v>
      </c>
      <c r="AF49" s="206">
        <v>0</v>
      </c>
      <c r="AG49" s="281">
        <v>0</v>
      </c>
      <c r="AH49" s="205">
        <f t="shared" ref="AH49:AH58" si="57">SUM(AC49:AG49)</f>
        <v>0</v>
      </c>
      <c r="AI49" s="205">
        <f t="shared" ref="AI49:AI61" si="58">O49+AB49-AH49</f>
        <v>2355.7500000000005</v>
      </c>
      <c r="AJ49" s="205"/>
      <c r="AK49" s="255"/>
    </row>
    <row r="50" spans="2:38" ht="18" customHeight="1" x14ac:dyDescent="0.25">
      <c r="B50" s="171">
        <v>28</v>
      </c>
      <c r="C50" s="161" t="s">
        <v>337</v>
      </c>
      <c r="D50" s="191" t="s">
        <v>121</v>
      </c>
      <c r="E50" s="176"/>
      <c r="F50" s="191">
        <v>15</v>
      </c>
      <c r="G50" s="204">
        <v>100</v>
      </c>
      <c r="H50" s="205">
        <f t="shared" si="48"/>
        <v>1500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  <c r="O50" s="205">
        <f t="shared" si="53"/>
        <v>1500</v>
      </c>
      <c r="P50" s="207"/>
      <c r="Q50" s="205">
        <v>0</v>
      </c>
      <c r="R50" s="205">
        <f t="shared" si="54"/>
        <v>1500</v>
      </c>
      <c r="S50" s="205">
        <f t="shared" si="49"/>
        <v>318.01</v>
      </c>
      <c r="T50" s="205">
        <f t="shared" ref="T50:T58" si="59">R50-S50</f>
        <v>1181.99</v>
      </c>
      <c r="U50" s="208">
        <f t="shared" si="50"/>
        <v>6.4000000000000001E-2</v>
      </c>
      <c r="V50" s="205">
        <f t="shared" ref="V50:V55" si="60">T50*U50</f>
        <v>75.647360000000006</v>
      </c>
      <c r="W50" s="205">
        <f t="shared" si="51"/>
        <v>6.15</v>
      </c>
      <c r="X50" s="205">
        <f t="shared" si="55"/>
        <v>81.797360000000012</v>
      </c>
      <c r="Y50" s="205">
        <f t="shared" si="52"/>
        <v>200.7</v>
      </c>
      <c r="Z50" s="205">
        <f t="shared" si="56"/>
        <v>-118.9</v>
      </c>
      <c r="AA50" s="209"/>
      <c r="AB50" s="205">
        <f t="shared" ref="AB50:AB58" si="61">-IF(Z50&gt;0,0,Z50)</f>
        <v>118.9</v>
      </c>
      <c r="AC50" s="205">
        <f t="shared" ref="AC50:AC58" si="62">IF(Z50&lt;0,0,Z50)</f>
        <v>0</v>
      </c>
      <c r="AD50" s="205">
        <v>0</v>
      </c>
      <c r="AE50" s="206">
        <v>0</v>
      </c>
      <c r="AF50" s="206">
        <v>0</v>
      </c>
      <c r="AG50" s="281">
        <v>0</v>
      </c>
      <c r="AH50" s="205">
        <f t="shared" si="57"/>
        <v>0</v>
      </c>
      <c r="AI50" s="205">
        <f t="shared" si="58"/>
        <v>1618.9</v>
      </c>
      <c r="AJ50" s="205"/>
      <c r="AK50" s="255"/>
    </row>
    <row r="51" spans="2:38" ht="22.5" customHeight="1" x14ac:dyDescent="0.25">
      <c r="B51" s="171">
        <v>29</v>
      </c>
      <c r="C51" s="161" t="s">
        <v>498</v>
      </c>
      <c r="D51" s="191" t="s">
        <v>135</v>
      </c>
      <c r="E51" s="176"/>
      <c r="F51" s="191">
        <v>15</v>
      </c>
      <c r="G51" s="204">
        <v>212.33</v>
      </c>
      <c r="H51" s="205">
        <f t="shared" si="48"/>
        <v>3184.9500000000003</v>
      </c>
      <c r="I51" s="206">
        <v>0</v>
      </c>
      <c r="J51" s="206">
        <v>0</v>
      </c>
      <c r="K51" s="206">
        <v>0</v>
      </c>
      <c r="L51" s="206">
        <v>0</v>
      </c>
      <c r="M51" s="206">
        <v>0</v>
      </c>
      <c r="N51" s="206">
        <v>0</v>
      </c>
      <c r="O51" s="205">
        <f t="shared" si="53"/>
        <v>3184.9500000000003</v>
      </c>
      <c r="P51" s="207"/>
      <c r="Q51" s="205">
        <v>0</v>
      </c>
      <c r="R51" s="205">
        <f t="shared" si="54"/>
        <v>3184.9500000000003</v>
      </c>
      <c r="S51" s="205">
        <f t="shared" si="49"/>
        <v>2699.41</v>
      </c>
      <c r="T51" s="205">
        <f t="shared" si="59"/>
        <v>485.54000000000042</v>
      </c>
      <c r="U51" s="208">
        <f t="shared" si="50"/>
        <v>0.10879999999999999</v>
      </c>
      <c r="V51" s="205">
        <f t="shared" si="60"/>
        <v>52.826752000000042</v>
      </c>
      <c r="W51" s="205">
        <f t="shared" si="51"/>
        <v>158.55000000000001</v>
      </c>
      <c r="X51" s="205">
        <f t="shared" si="55"/>
        <v>211.37675200000007</v>
      </c>
      <c r="Y51" s="205">
        <f t="shared" si="52"/>
        <v>125.1</v>
      </c>
      <c r="Z51" s="205">
        <f t="shared" si="56"/>
        <v>86.28</v>
      </c>
      <c r="AA51" s="209"/>
      <c r="AB51" s="205">
        <f t="shared" si="61"/>
        <v>0</v>
      </c>
      <c r="AC51" s="205">
        <f t="shared" si="62"/>
        <v>86.28</v>
      </c>
      <c r="AD51" s="205">
        <v>0</v>
      </c>
      <c r="AE51" s="206">
        <v>0</v>
      </c>
      <c r="AF51" s="206">
        <v>0</v>
      </c>
      <c r="AG51" s="281">
        <v>0</v>
      </c>
      <c r="AH51" s="205">
        <f t="shared" si="57"/>
        <v>86.28</v>
      </c>
      <c r="AI51" s="205">
        <f t="shared" si="58"/>
        <v>3098.67</v>
      </c>
      <c r="AJ51" s="205"/>
      <c r="AK51" s="255"/>
    </row>
    <row r="52" spans="2:38" ht="22.5" customHeight="1" x14ac:dyDescent="0.25">
      <c r="B52" s="171">
        <v>30</v>
      </c>
      <c r="C52" s="161" t="s">
        <v>454</v>
      </c>
      <c r="D52" s="191" t="s">
        <v>236</v>
      </c>
      <c r="E52" s="176"/>
      <c r="F52" s="191">
        <v>15</v>
      </c>
      <c r="G52" s="204">
        <v>122.33</v>
      </c>
      <c r="H52" s="205">
        <f t="shared" si="48"/>
        <v>1834.95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  <c r="O52" s="205">
        <f t="shared" si="53"/>
        <v>1834.95</v>
      </c>
      <c r="P52" s="207"/>
      <c r="Q52" s="205">
        <v>0</v>
      </c>
      <c r="R52" s="205">
        <f t="shared" si="54"/>
        <v>1834.95</v>
      </c>
      <c r="S52" s="205">
        <f t="shared" si="49"/>
        <v>318.01</v>
      </c>
      <c r="T52" s="205">
        <f t="shared" si="59"/>
        <v>1516.94</v>
      </c>
      <c r="U52" s="208">
        <f t="shared" si="50"/>
        <v>6.4000000000000001E-2</v>
      </c>
      <c r="V52" s="205">
        <f t="shared" si="60"/>
        <v>97.084160000000011</v>
      </c>
      <c r="W52" s="205">
        <f t="shared" si="51"/>
        <v>6.15</v>
      </c>
      <c r="X52" s="205">
        <f t="shared" si="55"/>
        <v>103.23416000000002</v>
      </c>
      <c r="Y52" s="205">
        <f t="shared" si="52"/>
        <v>188.7</v>
      </c>
      <c r="Z52" s="205">
        <f t="shared" si="56"/>
        <v>-85.47</v>
      </c>
      <c r="AA52" s="209"/>
      <c r="AB52" s="205">
        <f t="shared" si="61"/>
        <v>85.47</v>
      </c>
      <c r="AC52" s="205">
        <f t="shared" si="62"/>
        <v>0</v>
      </c>
      <c r="AD52" s="205">
        <v>0</v>
      </c>
      <c r="AE52" s="206">
        <v>0</v>
      </c>
      <c r="AF52" s="206">
        <v>0</v>
      </c>
      <c r="AG52" s="281">
        <v>0</v>
      </c>
      <c r="AH52" s="205">
        <f t="shared" si="57"/>
        <v>0</v>
      </c>
      <c r="AI52" s="205">
        <f t="shared" si="58"/>
        <v>1920.42</v>
      </c>
      <c r="AJ52" s="205"/>
      <c r="AK52" s="255"/>
    </row>
    <row r="53" spans="2:38" ht="22.5" customHeight="1" x14ac:dyDescent="0.25">
      <c r="B53" s="171">
        <v>31</v>
      </c>
      <c r="C53" s="161" t="s">
        <v>421</v>
      </c>
      <c r="D53" s="191" t="s">
        <v>248</v>
      </c>
      <c r="E53" s="176"/>
      <c r="F53" s="191">
        <v>15</v>
      </c>
      <c r="G53" s="204">
        <v>122.33</v>
      </c>
      <c r="H53" s="205">
        <f t="shared" si="48"/>
        <v>1834.95</v>
      </c>
      <c r="I53" s="206">
        <v>0</v>
      </c>
      <c r="J53" s="206">
        <v>0</v>
      </c>
      <c r="K53" s="206">
        <v>0</v>
      </c>
      <c r="L53" s="206">
        <v>0</v>
      </c>
      <c r="M53" s="206">
        <v>0</v>
      </c>
      <c r="N53" s="206">
        <v>0</v>
      </c>
      <c r="O53" s="205">
        <f t="shared" si="53"/>
        <v>1834.95</v>
      </c>
      <c r="P53" s="207"/>
      <c r="Q53" s="205">
        <v>0</v>
      </c>
      <c r="R53" s="205">
        <f t="shared" si="54"/>
        <v>1834.95</v>
      </c>
      <c r="S53" s="205">
        <f t="shared" si="49"/>
        <v>318.01</v>
      </c>
      <c r="T53" s="205">
        <f t="shared" si="59"/>
        <v>1516.94</v>
      </c>
      <c r="U53" s="208">
        <f t="shared" si="50"/>
        <v>6.4000000000000001E-2</v>
      </c>
      <c r="V53" s="205">
        <f t="shared" si="60"/>
        <v>97.084160000000011</v>
      </c>
      <c r="W53" s="205">
        <f t="shared" si="51"/>
        <v>6.15</v>
      </c>
      <c r="X53" s="205">
        <f t="shared" si="55"/>
        <v>103.23416000000002</v>
      </c>
      <c r="Y53" s="205">
        <f t="shared" si="52"/>
        <v>188.7</v>
      </c>
      <c r="Z53" s="205">
        <f t="shared" si="56"/>
        <v>-85.47</v>
      </c>
      <c r="AA53" s="209"/>
      <c r="AB53" s="205">
        <f t="shared" si="61"/>
        <v>85.47</v>
      </c>
      <c r="AC53" s="205">
        <f t="shared" si="62"/>
        <v>0</v>
      </c>
      <c r="AD53" s="205">
        <v>0</v>
      </c>
      <c r="AE53" s="206">
        <v>0</v>
      </c>
      <c r="AF53" s="206">
        <v>0</v>
      </c>
      <c r="AG53" s="281">
        <v>0</v>
      </c>
      <c r="AH53" s="205">
        <f t="shared" si="57"/>
        <v>0</v>
      </c>
      <c r="AI53" s="205">
        <f t="shared" si="58"/>
        <v>1920.42</v>
      </c>
      <c r="AJ53" s="205"/>
      <c r="AK53" s="255"/>
    </row>
    <row r="54" spans="2:38" ht="22.5" customHeight="1" x14ac:dyDescent="0.25">
      <c r="B54" s="171">
        <v>32</v>
      </c>
      <c r="C54" s="161" t="s">
        <v>436</v>
      </c>
      <c r="D54" s="191" t="s">
        <v>236</v>
      </c>
      <c r="E54" s="176"/>
      <c r="F54" s="191">
        <v>15</v>
      </c>
      <c r="G54" s="204">
        <v>127.2</v>
      </c>
      <c r="H54" s="205">
        <f t="shared" si="48"/>
        <v>1908</v>
      </c>
      <c r="I54" s="206">
        <v>0</v>
      </c>
      <c r="J54" s="206">
        <v>0</v>
      </c>
      <c r="K54" s="206">
        <v>0</v>
      </c>
      <c r="L54" s="206">
        <v>0</v>
      </c>
      <c r="M54" s="206">
        <v>0</v>
      </c>
      <c r="N54" s="206">
        <v>0</v>
      </c>
      <c r="O54" s="205">
        <f t="shared" si="53"/>
        <v>1908</v>
      </c>
      <c r="P54" s="207"/>
      <c r="Q54" s="205">
        <v>0</v>
      </c>
      <c r="R54" s="205">
        <f t="shared" si="54"/>
        <v>1908</v>
      </c>
      <c r="S54" s="205">
        <f t="shared" si="49"/>
        <v>318.01</v>
      </c>
      <c r="T54" s="205">
        <f t="shared" si="59"/>
        <v>1589.99</v>
      </c>
      <c r="U54" s="208">
        <f t="shared" si="50"/>
        <v>6.4000000000000001E-2</v>
      </c>
      <c r="V54" s="205">
        <f t="shared" si="60"/>
        <v>101.75936</v>
      </c>
      <c r="W54" s="205">
        <f t="shared" si="51"/>
        <v>6.15</v>
      </c>
      <c r="X54" s="205">
        <f t="shared" si="55"/>
        <v>107.90936000000001</v>
      </c>
      <c r="Y54" s="205">
        <f t="shared" si="52"/>
        <v>188.7</v>
      </c>
      <c r="Z54" s="205">
        <f t="shared" si="56"/>
        <v>-80.790000000000006</v>
      </c>
      <c r="AA54" s="209"/>
      <c r="AB54" s="205">
        <f t="shared" si="61"/>
        <v>80.790000000000006</v>
      </c>
      <c r="AC54" s="205">
        <f t="shared" si="62"/>
        <v>0</v>
      </c>
      <c r="AD54" s="205">
        <v>0</v>
      </c>
      <c r="AE54" s="206">
        <v>0</v>
      </c>
      <c r="AF54" s="206">
        <v>0</v>
      </c>
      <c r="AG54" s="281">
        <v>0</v>
      </c>
      <c r="AH54" s="205">
        <f t="shared" si="57"/>
        <v>0</v>
      </c>
      <c r="AI54" s="205">
        <f t="shared" si="58"/>
        <v>1988.79</v>
      </c>
      <c r="AJ54" s="205"/>
      <c r="AK54" s="255"/>
    </row>
    <row r="55" spans="2:38" ht="22.5" customHeight="1" x14ac:dyDescent="0.25">
      <c r="B55" s="171">
        <v>33</v>
      </c>
      <c r="C55" s="161" t="s">
        <v>379</v>
      </c>
      <c r="D55" s="191" t="s">
        <v>157</v>
      </c>
      <c r="E55" s="176"/>
      <c r="F55" s="191">
        <v>15</v>
      </c>
      <c r="G55" s="204">
        <v>127.2</v>
      </c>
      <c r="H55" s="205">
        <f t="shared" si="48"/>
        <v>1908</v>
      </c>
      <c r="I55" s="206">
        <v>0</v>
      </c>
      <c r="J55" s="206">
        <v>0</v>
      </c>
      <c r="K55" s="206">
        <v>0</v>
      </c>
      <c r="L55" s="206">
        <v>0</v>
      </c>
      <c r="M55" s="206">
        <v>0</v>
      </c>
      <c r="N55" s="206">
        <v>0</v>
      </c>
      <c r="O55" s="205">
        <f t="shared" si="53"/>
        <v>1908</v>
      </c>
      <c r="P55" s="207"/>
      <c r="Q55" s="205">
        <v>0</v>
      </c>
      <c r="R55" s="205">
        <f t="shared" si="54"/>
        <v>1908</v>
      </c>
      <c r="S55" s="205">
        <f t="shared" si="49"/>
        <v>318.01</v>
      </c>
      <c r="T55" s="205">
        <f t="shared" si="59"/>
        <v>1589.99</v>
      </c>
      <c r="U55" s="208">
        <f t="shared" si="50"/>
        <v>6.4000000000000001E-2</v>
      </c>
      <c r="V55" s="205">
        <f t="shared" si="60"/>
        <v>101.75936</v>
      </c>
      <c r="W55" s="205">
        <f t="shared" si="51"/>
        <v>6.15</v>
      </c>
      <c r="X55" s="205">
        <f t="shared" si="55"/>
        <v>107.90936000000001</v>
      </c>
      <c r="Y55" s="205">
        <f t="shared" si="52"/>
        <v>188.7</v>
      </c>
      <c r="Z55" s="205">
        <f t="shared" si="56"/>
        <v>-80.790000000000006</v>
      </c>
      <c r="AA55" s="209"/>
      <c r="AB55" s="205">
        <f t="shared" si="61"/>
        <v>80.790000000000006</v>
      </c>
      <c r="AC55" s="205">
        <f t="shared" si="62"/>
        <v>0</v>
      </c>
      <c r="AD55" s="205">
        <v>0</v>
      </c>
      <c r="AE55" s="206">
        <v>0</v>
      </c>
      <c r="AF55" s="206">
        <v>0</v>
      </c>
      <c r="AG55" s="281">
        <v>0</v>
      </c>
      <c r="AH55" s="205">
        <f t="shared" si="57"/>
        <v>0</v>
      </c>
      <c r="AI55" s="205">
        <f t="shared" si="58"/>
        <v>1988.79</v>
      </c>
      <c r="AJ55" s="205"/>
      <c r="AK55" s="255"/>
    </row>
    <row r="56" spans="2:38" ht="22.5" customHeight="1" x14ac:dyDescent="0.25">
      <c r="B56" s="171">
        <v>34</v>
      </c>
      <c r="C56" s="161" t="s">
        <v>358</v>
      </c>
      <c r="D56" s="191" t="s">
        <v>236</v>
      </c>
      <c r="E56" s="176"/>
      <c r="F56" s="191">
        <v>15</v>
      </c>
      <c r="G56" s="204">
        <v>80</v>
      </c>
      <c r="H56" s="205">
        <f t="shared" si="48"/>
        <v>1200</v>
      </c>
      <c r="I56" s="206">
        <v>0</v>
      </c>
      <c r="J56" s="206">
        <v>0</v>
      </c>
      <c r="K56" s="206">
        <v>0</v>
      </c>
      <c r="L56" s="206">
        <v>0</v>
      </c>
      <c r="M56" s="206">
        <v>0</v>
      </c>
      <c r="N56" s="206">
        <v>0</v>
      </c>
      <c r="O56" s="205">
        <f t="shared" si="53"/>
        <v>1200</v>
      </c>
      <c r="P56" s="207"/>
      <c r="Q56" s="205">
        <v>0</v>
      </c>
      <c r="R56" s="205">
        <f t="shared" si="54"/>
        <v>1200</v>
      </c>
      <c r="S56" s="205">
        <f t="shared" si="49"/>
        <v>318.01</v>
      </c>
      <c r="T56" s="205">
        <f t="shared" si="59"/>
        <v>881.99</v>
      </c>
      <c r="U56" s="208">
        <f t="shared" si="50"/>
        <v>6.4000000000000001E-2</v>
      </c>
      <c r="V56" s="205">
        <f>T56*U56</f>
        <v>56.447360000000003</v>
      </c>
      <c r="W56" s="205">
        <f t="shared" si="51"/>
        <v>6.15</v>
      </c>
      <c r="X56" s="205">
        <f t="shared" si="55"/>
        <v>62.597360000000002</v>
      </c>
      <c r="Y56" s="205">
        <f t="shared" si="52"/>
        <v>200.7</v>
      </c>
      <c r="Z56" s="205">
        <f>ROUND(X56-Y56,2)</f>
        <v>-138.1</v>
      </c>
      <c r="AA56" s="209"/>
      <c r="AB56" s="205">
        <f t="shared" si="61"/>
        <v>138.1</v>
      </c>
      <c r="AC56" s="205">
        <f t="shared" si="62"/>
        <v>0</v>
      </c>
      <c r="AD56" s="205">
        <v>0</v>
      </c>
      <c r="AE56" s="206">
        <v>0</v>
      </c>
      <c r="AF56" s="206">
        <v>0</v>
      </c>
      <c r="AG56" s="281">
        <v>0</v>
      </c>
      <c r="AH56" s="205">
        <f t="shared" si="57"/>
        <v>0</v>
      </c>
      <c r="AI56" s="205">
        <f t="shared" si="58"/>
        <v>1338.1</v>
      </c>
      <c r="AJ56" s="205"/>
      <c r="AK56" s="255"/>
    </row>
    <row r="57" spans="2:38" ht="22.5" customHeight="1" x14ac:dyDescent="0.25">
      <c r="B57" s="171">
        <v>35</v>
      </c>
      <c r="C57" s="161" t="s">
        <v>450</v>
      </c>
      <c r="D57" s="191" t="s">
        <v>236</v>
      </c>
      <c r="E57" s="191"/>
      <c r="F57" s="191">
        <v>15</v>
      </c>
      <c r="G57" s="204">
        <v>70.2</v>
      </c>
      <c r="H57" s="205">
        <f t="shared" si="48"/>
        <v>1053</v>
      </c>
      <c r="I57" s="206">
        <v>0</v>
      </c>
      <c r="J57" s="206">
        <v>0</v>
      </c>
      <c r="K57" s="206">
        <v>0</v>
      </c>
      <c r="L57" s="206">
        <v>0</v>
      </c>
      <c r="M57" s="206">
        <v>0</v>
      </c>
      <c r="N57" s="206">
        <v>0</v>
      </c>
      <c r="O57" s="205">
        <f t="shared" si="53"/>
        <v>1053</v>
      </c>
      <c r="P57" s="207"/>
      <c r="Q57" s="205">
        <v>0</v>
      </c>
      <c r="R57" s="205">
        <f t="shared" si="54"/>
        <v>1053</v>
      </c>
      <c r="S57" s="205">
        <f t="shared" si="49"/>
        <v>318.01</v>
      </c>
      <c r="T57" s="205">
        <f t="shared" si="59"/>
        <v>734.99</v>
      </c>
      <c r="U57" s="208">
        <f t="shared" si="50"/>
        <v>6.4000000000000001E-2</v>
      </c>
      <c r="V57" s="205">
        <f t="shared" ref="V57:V58" si="63">T57*U57</f>
        <v>47.039360000000002</v>
      </c>
      <c r="W57" s="205">
        <f t="shared" si="51"/>
        <v>6.15</v>
      </c>
      <c r="X57" s="205">
        <f t="shared" si="55"/>
        <v>53.189360000000001</v>
      </c>
      <c r="Y57" s="205">
        <f t="shared" si="52"/>
        <v>200.7</v>
      </c>
      <c r="Z57" s="205">
        <f t="shared" ref="Z57:Z58" si="64">ROUND(X57-Y57,2)</f>
        <v>-147.51</v>
      </c>
      <c r="AA57" s="209"/>
      <c r="AB57" s="205">
        <f t="shared" si="61"/>
        <v>147.51</v>
      </c>
      <c r="AC57" s="205">
        <f t="shared" si="62"/>
        <v>0</v>
      </c>
      <c r="AD57" s="205">
        <v>0</v>
      </c>
      <c r="AE57" s="206">
        <v>0</v>
      </c>
      <c r="AF57" s="206">
        <v>0</v>
      </c>
      <c r="AG57" s="281">
        <v>0</v>
      </c>
      <c r="AH57" s="205">
        <f t="shared" si="57"/>
        <v>0</v>
      </c>
      <c r="AI57" s="205">
        <f t="shared" si="58"/>
        <v>1200.51</v>
      </c>
      <c r="AJ57" s="205"/>
      <c r="AK57" s="255"/>
    </row>
    <row r="58" spans="2:38" ht="22.5" customHeight="1" x14ac:dyDescent="0.25">
      <c r="B58" s="171">
        <v>36</v>
      </c>
      <c r="C58" s="161" t="s">
        <v>457</v>
      </c>
      <c r="D58" s="191" t="s">
        <v>157</v>
      </c>
      <c r="E58" s="176"/>
      <c r="F58" s="191">
        <v>15</v>
      </c>
      <c r="G58" s="204">
        <v>122.33</v>
      </c>
      <c r="H58" s="205">
        <f t="shared" si="48"/>
        <v>1834.95</v>
      </c>
      <c r="I58" s="206">
        <v>0</v>
      </c>
      <c r="J58" s="206">
        <v>0</v>
      </c>
      <c r="K58" s="206">
        <v>0</v>
      </c>
      <c r="L58" s="206">
        <v>0</v>
      </c>
      <c r="M58" s="206">
        <v>0</v>
      </c>
      <c r="N58" s="206">
        <v>0</v>
      </c>
      <c r="O58" s="205">
        <f t="shared" si="53"/>
        <v>1834.95</v>
      </c>
      <c r="P58" s="207"/>
      <c r="Q58" s="205">
        <v>0</v>
      </c>
      <c r="R58" s="205">
        <f t="shared" si="54"/>
        <v>1834.95</v>
      </c>
      <c r="S58" s="205">
        <f t="shared" si="49"/>
        <v>318.01</v>
      </c>
      <c r="T58" s="205">
        <f t="shared" si="59"/>
        <v>1516.94</v>
      </c>
      <c r="U58" s="208">
        <f t="shared" si="50"/>
        <v>6.4000000000000001E-2</v>
      </c>
      <c r="V58" s="205">
        <f t="shared" si="63"/>
        <v>97.084160000000011</v>
      </c>
      <c r="W58" s="205">
        <f t="shared" si="51"/>
        <v>6.15</v>
      </c>
      <c r="X58" s="205">
        <f t="shared" si="55"/>
        <v>103.23416000000002</v>
      </c>
      <c r="Y58" s="205">
        <f t="shared" si="52"/>
        <v>188.7</v>
      </c>
      <c r="Z58" s="205">
        <f t="shared" si="64"/>
        <v>-85.47</v>
      </c>
      <c r="AA58" s="209"/>
      <c r="AB58" s="205">
        <f t="shared" si="61"/>
        <v>85.47</v>
      </c>
      <c r="AC58" s="205">
        <f t="shared" si="62"/>
        <v>0</v>
      </c>
      <c r="AD58" s="205">
        <v>0</v>
      </c>
      <c r="AE58" s="206">
        <v>0</v>
      </c>
      <c r="AF58" s="206">
        <v>0</v>
      </c>
      <c r="AG58" s="281">
        <v>0</v>
      </c>
      <c r="AH58" s="205">
        <f t="shared" si="57"/>
        <v>0</v>
      </c>
      <c r="AI58" s="205">
        <f t="shared" si="58"/>
        <v>1920.42</v>
      </c>
      <c r="AJ58" s="205"/>
      <c r="AK58" s="255"/>
    </row>
    <row r="59" spans="2:38" ht="22.5" customHeight="1" x14ac:dyDescent="0.25">
      <c r="B59" s="171">
        <v>37</v>
      </c>
      <c r="C59" s="161" t="s">
        <v>471</v>
      </c>
      <c r="D59" s="191" t="s">
        <v>135</v>
      </c>
      <c r="E59" s="176"/>
      <c r="F59" s="191">
        <v>15</v>
      </c>
      <c r="G59" s="204">
        <v>212.33</v>
      </c>
      <c r="H59" s="205">
        <f t="shared" si="48"/>
        <v>3184.9500000000003</v>
      </c>
      <c r="I59" s="206">
        <v>0</v>
      </c>
      <c r="J59" s="206">
        <v>0</v>
      </c>
      <c r="K59" s="206">
        <v>0</v>
      </c>
      <c r="L59" s="206">
        <v>0</v>
      </c>
      <c r="M59" s="206">
        <v>0</v>
      </c>
      <c r="N59" s="206">
        <v>0</v>
      </c>
      <c r="O59" s="205">
        <f t="shared" si="53"/>
        <v>3184.9500000000003</v>
      </c>
      <c r="P59" s="207"/>
      <c r="Q59" s="205">
        <v>0</v>
      </c>
      <c r="R59" s="205">
        <f>H59+I59+J59+M59+Q59+K59</f>
        <v>3184.9500000000003</v>
      </c>
      <c r="S59" s="205">
        <f t="shared" si="49"/>
        <v>2699.41</v>
      </c>
      <c r="T59" s="205">
        <f>R59-S59</f>
        <v>485.54000000000042</v>
      </c>
      <c r="U59" s="208">
        <f t="shared" si="50"/>
        <v>0.10879999999999999</v>
      </c>
      <c r="V59" s="205">
        <f>T59*U59</f>
        <v>52.826752000000042</v>
      </c>
      <c r="W59" s="205">
        <f t="shared" si="51"/>
        <v>158.55000000000001</v>
      </c>
      <c r="X59" s="205">
        <f>V59+W59</f>
        <v>211.37675200000007</v>
      </c>
      <c r="Y59" s="205">
        <f t="shared" si="52"/>
        <v>125.1</v>
      </c>
      <c r="Z59" s="205">
        <f>ROUND(X59-Y59,2)</f>
        <v>86.28</v>
      </c>
      <c r="AA59" s="209"/>
      <c r="AB59" s="205">
        <f>-IF(Z59&gt;0,0,Z59)</f>
        <v>0</v>
      </c>
      <c r="AC59" s="205">
        <f>IF(Z59&lt;0,0,Z59)</f>
        <v>86.28</v>
      </c>
      <c r="AD59" s="205">
        <v>0</v>
      </c>
      <c r="AE59" s="206">
        <v>0</v>
      </c>
      <c r="AF59" s="206">
        <v>0</v>
      </c>
      <c r="AG59" s="281">
        <v>0</v>
      </c>
      <c r="AH59" s="205">
        <f>SUM(AC59:AG59)</f>
        <v>86.28</v>
      </c>
      <c r="AI59" s="205">
        <f t="shared" si="58"/>
        <v>3098.67</v>
      </c>
      <c r="AJ59" s="205"/>
      <c r="AK59" s="255"/>
    </row>
    <row r="60" spans="2:38" ht="22.5" customHeight="1" x14ac:dyDescent="0.25">
      <c r="B60" s="171">
        <v>38</v>
      </c>
      <c r="C60" s="161" t="s">
        <v>397</v>
      </c>
      <c r="D60" s="191" t="s">
        <v>135</v>
      </c>
      <c r="E60" s="176"/>
      <c r="F60" s="191">
        <v>15</v>
      </c>
      <c r="G60" s="204">
        <v>212.33</v>
      </c>
      <c r="H60" s="205">
        <f t="shared" si="48"/>
        <v>3184.9500000000003</v>
      </c>
      <c r="I60" s="206">
        <v>0</v>
      </c>
      <c r="J60" s="206">
        <v>0</v>
      </c>
      <c r="K60" s="206">
        <v>0</v>
      </c>
      <c r="L60" s="206">
        <v>0</v>
      </c>
      <c r="M60" s="206">
        <v>0</v>
      </c>
      <c r="N60" s="206">
        <v>0</v>
      </c>
      <c r="O60" s="205">
        <f t="shared" si="53"/>
        <v>3184.9500000000003</v>
      </c>
      <c r="P60" s="207"/>
      <c r="Q60" s="205">
        <v>0</v>
      </c>
      <c r="R60" s="205">
        <f>H60+I60+J60+M60+Q60+K60</f>
        <v>3184.9500000000003</v>
      </c>
      <c r="S60" s="205">
        <f t="shared" si="49"/>
        <v>2699.41</v>
      </c>
      <c r="T60" s="205">
        <f>R60-S60</f>
        <v>485.54000000000042</v>
      </c>
      <c r="U60" s="208">
        <f t="shared" si="50"/>
        <v>0.10879999999999999</v>
      </c>
      <c r="V60" s="205">
        <f>T60*U60</f>
        <v>52.826752000000042</v>
      </c>
      <c r="W60" s="205">
        <f t="shared" si="51"/>
        <v>158.55000000000001</v>
      </c>
      <c r="X60" s="205">
        <f>V60+W60</f>
        <v>211.37675200000007</v>
      </c>
      <c r="Y60" s="205">
        <f t="shared" si="52"/>
        <v>125.1</v>
      </c>
      <c r="Z60" s="205">
        <f>ROUND(X60-Y60,2)</f>
        <v>86.28</v>
      </c>
      <c r="AA60" s="209"/>
      <c r="AB60" s="205">
        <f>-IF(Z60&gt;0,0,Z60)</f>
        <v>0</v>
      </c>
      <c r="AC60" s="205">
        <f>IF(Z60&lt;0,0,Z60)</f>
        <v>86.28</v>
      </c>
      <c r="AD60" s="205">
        <v>0</v>
      </c>
      <c r="AE60" s="206">
        <v>0</v>
      </c>
      <c r="AF60" s="206">
        <v>0</v>
      </c>
      <c r="AG60" s="281">
        <v>0</v>
      </c>
      <c r="AH60" s="205">
        <f>SUM(AC60:AG60)</f>
        <v>86.28</v>
      </c>
      <c r="AI60" s="205">
        <f t="shared" si="58"/>
        <v>3098.67</v>
      </c>
      <c r="AJ60" s="205"/>
      <c r="AK60" s="255"/>
    </row>
    <row r="61" spans="2:38" ht="22.5" customHeight="1" x14ac:dyDescent="0.25">
      <c r="B61" s="171">
        <v>39</v>
      </c>
      <c r="C61" s="161" t="s">
        <v>386</v>
      </c>
      <c r="D61" s="191" t="s">
        <v>135</v>
      </c>
      <c r="E61" s="176"/>
      <c r="F61" s="191">
        <v>15</v>
      </c>
      <c r="G61" s="204">
        <v>212.33</v>
      </c>
      <c r="H61" s="205">
        <f t="shared" si="48"/>
        <v>3184.9500000000003</v>
      </c>
      <c r="I61" s="206">
        <v>0</v>
      </c>
      <c r="J61" s="206">
        <v>0</v>
      </c>
      <c r="K61" s="206">
        <v>0</v>
      </c>
      <c r="L61" s="206">
        <v>0</v>
      </c>
      <c r="M61" s="206">
        <v>0</v>
      </c>
      <c r="N61" s="206">
        <v>0</v>
      </c>
      <c r="O61" s="205">
        <f t="shared" si="53"/>
        <v>3184.9500000000003</v>
      </c>
      <c r="P61" s="207"/>
      <c r="Q61" s="205">
        <v>0</v>
      </c>
      <c r="R61" s="205">
        <f>H61+I61+J61+M61+Q61+K61</f>
        <v>3184.9500000000003</v>
      </c>
      <c r="S61" s="205">
        <f t="shared" si="49"/>
        <v>2699.41</v>
      </c>
      <c r="T61" s="205">
        <f>R61-S61</f>
        <v>485.54000000000042</v>
      </c>
      <c r="U61" s="208">
        <f t="shared" si="50"/>
        <v>0.10879999999999999</v>
      </c>
      <c r="V61" s="205">
        <f>T61*U61</f>
        <v>52.826752000000042</v>
      </c>
      <c r="W61" s="205">
        <f t="shared" si="51"/>
        <v>158.55000000000001</v>
      </c>
      <c r="X61" s="205">
        <f>V61+W61</f>
        <v>211.37675200000007</v>
      </c>
      <c r="Y61" s="205">
        <f t="shared" si="52"/>
        <v>125.1</v>
      </c>
      <c r="Z61" s="205">
        <f>ROUND(X61-Y61,2)</f>
        <v>86.28</v>
      </c>
      <c r="AA61" s="209"/>
      <c r="AB61" s="205">
        <f>-IF(Z61&gt;0,0,Z61)</f>
        <v>0</v>
      </c>
      <c r="AC61" s="205">
        <f>IF(Z61&lt;0,0,Z61)</f>
        <v>86.28</v>
      </c>
      <c r="AD61" s="205">
        <v>0</v>
      </c>
      <c r="AE61" s="206">
        <v>0</v>
      </c>
      <c r="AF61" s="206">
        <v>0</v>
      </c>
      <c r="AG61" s="281">
        <v>0</v>
      </c>
      <c r="AH61" s="205">
        <f>SUM(AC61:AG61)</f>
        <v>86.28</v>
      </c>
      <c r="AI61" s="205">
        <f t="shared" si="58"/>
        <v>3098.67</v>
      </c>
      <c r="AJ61" s="205"/>
      <c r="AK61" s="255"/>
    </row>
    <row r="62" spans="2:38" ht="22.5" customHeight="1" x14ac:dyDescent="0.25">
      <c r="B62" s="171"/>
      <c r="C62" s="161"/>
      <c r="D62" s="275" t="s">
        <v>111</v>
      </c>
      <c r="E62" s="443"/>
      <c r="F62" s="444"/>
      <c r="G62" s="445"/>
      <c r="H62" s="280">
        <f>SUM(H48:H61)</f>
        <v>29971.650000000005</v>
      </c>
      <c r="I62" s="280">
        <f t="shared" ref="I62:AF62" si="65">SUM(I48:I61)</f>
        <v>0</v>
      </c>
      <c r="J62" s="205">
        <f t="shared" si="65"/>
        <v>0</v>
      </c>
      <c r="K62" s="280">
        <f t="shared" si="65"/>
        <v>0</v>
      </c>
      <c r="L62" s="205">
        <f t="shared" si="65"/>
        <v>0</v>
      </c>
      <c r="M62" s="280">
        <f t="shared" si="65"/>
        <v>0</v>
      </c>
      <c r="N62" s="205">
        <f t="shared" si="65"/>
        <v>0</v>
      </c>
      <c r="O62" s="280">
        <f>SUM(O48:O61)</f>
        <v>29971.650000000005</v>
      </c>
      <c r="P62" s="280">
        <f t="shared" si="65"/>
        <v>0</v>
      </c>
      <c r="Q62" s="205">
        <f t="shared" si="65"/>
        <v>0</v>
      </c>
      <c r="R62" s="280">
        <f t="shared" si="65"/>
        <v>29971.650000000005</v>
      </c>
      <c r="S62" s="280">
        <f t="shared" si="65"/>
        <v>13977.740000000002</v>
      </c>
      <c r="T62" s="280">
        <f t="shared" si="65"/>
        <v>15993.910000000003</v>
      </c>
      <c r="U62" s="280">
        <f t="shared" si="65"/>
        <v>1.0752000000000002</v>
      </c>
      <c r="V62" s="280">
        <f t="shared" si="65"/>
        <v>1110.6190080000001</v>
      </c>
      <c r="W62" s="280">
        <f t="shared" si="65"/>
        <v>695.7</v>
      </c>
      <c r="X62" s="280">
        <f t="shared" si="65"/>
        <v>1806.3190080000004</v>
      </c>
      <c r="Y62" s="280">
        <f t="shared" si="65"/>
        <v>2409.4500000000003</v>
      </c>
      <c r="Z62" s="280">
        <f t="shared" si="65"/>
        <v>-603.13000000000011</v>
      </c>
      <c r="AA62" s="280"/>
      <c r="AB62" s="280">
        <f>SUM(AB48:AB61)</f>
        <v>948.25000000000011</v>
      </c>
      <c r="AC62" s="280">
        <f>SUM(AC48:AC61)</f>
        <v>345.12</v>
      </c>
      <c r="AD62" s="280">
        <f t="shared" si="65"/>
        <v>0</v>
      </c>
      <c r="AE62" s="280">
        <f t="shared" si="65"/>
        <v>0</v>
      </c>
      <c r="AF62" s="280">
        <f t="shared" si="65"/>
        <v>0</v>
      </c>
      <c r="AG62" s="280">
        <f>SUM(AG48:AG61)</f>
        <v>0</v>
      </c>
      <c r="AH62" s="280">
        <f>SUM(AH48:AH61)</f>
        <v>345.12</v>
      </c>
      <c r="AI62" s="280">
        <f>SUM(AI48:AI61)</f>
        <v>30574.779999999992</v>
      </c>
      <c r="AJ62" s="205"/>
      <c r="AK62" s="255"/>
      <c r="AL62" s="108">
        <f>O62+AB62-AH62</f>
        <v>30574.780000000006</v>
      </c>
    </row>
    <row r="63" spans="2:38" ht="27.75" customHeight="1" x14ac:dyDescent="0.25">
      <c r="B63" s="426" t="s">
        <v>123</v>
      </c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6"/>
      <c r="AD63" s="426"/>
      <c r="AE63" s="426"/>
      <c r="AF63" s="426"/>
      <c r="AG63" s="426"/>
      <c r="AH63" s="426"/>
      <c r="AI63" s="426"/>
      <c r="AJ63" s="426"/>
      <c r="AK63" s="255"/>
    </row>
    <row r="64" spans="2:38" ht="22.5" customHeight="1" x14ac:dyDescent="0.25">
      <c r="B64" s="171">
        <v>40</v>
      </c>
      <c r="C64" s="160" t="s">
        <v>504</v>
      </c>
      <c r="D64" s="191" t="s">
        <v>119</v>
      </c>
      <c r="E64" s="191"/>
      <c r="F64" s="191">
        <v>15</v>
      </c>
      <c r="G64" s="204">
        <v>166.67</v>
      </c>
      <c r="H64" s="205">
        <f>F64*G64</f>
        <v>2500.0499999999997</v>
      </c>
      <c r="I64" s="280">
        <v>0</v>
      </c>
      <c r="J64" s="205">
        <v>0</v>
      </c>
      <c r="K64" s="280">
        <v>0</v>
      </c>
      <c r="L64" s="205">
        <v>0</v>
      </c>
      <c r="M64" s="280">
        <v>0</v>
      </c>
      <c r="N64" s="205">
        <v>0</v>
      </c>
      <c r="O64" s="205">
        <f>SUM(H64:N64)</f>
        <v>2500.0499999999997</v>
      </c>
      <c r="P64" s="280"/>
      <c r="Q64" s="205"/>
      <c r="R64" s="205">
        <f>H64+I64+J64+M64+Q64+K64</f>
        <v>2500.0499999999997</v>
      </c>
      <c r="S64" s="205">
        <f>VLOOKUP(R64,TARIFA1,1)</f>
        <v>318.01</v>
      </c>
      <c r="T64" s="205">
        <f>R64-S64</f>
        <v>2182.04</v>
      </c>
      <c r="U64" s="208">
        <f>VLOOKUP(R64,TARIFA1,3)</f>
        <v>6.4000000000000001E-2</v>
      </c>
      <c r="V64" s="205">
        <f>T64*U64</f>
        <v>139.65056000000001</v>
      </c>
      <c r="W64" s="205">
        <f>VLOOKUP(R64,TARIFA1,2)</f>
        <v>6.15</v>
      </c>
      <c r="X64" s="205">
        <f>V64+W64</f>
        <v>145.80056000000002</v>
      </c>
      <c r="Y64" s="205">
        <f>VLOOKUP(R64,Credito1,2)</f>
        <v>160.35</v>
      </c>
      <c r="Z64" s="205">
        <f>ROUND(X64-Y64,2)</f>
        <v>-14.55</v>
      </c>
      <c r="AA64" s="280"/>
      <c r="AB64" s="205">
        <f>-IF(Z64&gt;0,0,Z64)</f>
        <v>14.55</v>
      </c>
      <c r="AC64" s="205">
        <f>IF(Z64&lt;0,0,Z64)</f>
        <v>0</v>
      </c>
      <c r="AD64" s="205">
        <v>0</v>
      </c>
      <c r="AE64" s="205">
        <v>0</v>
      </c>
      <c r="AF64" s="205">
        <v>0</v>
      </c>
      <c r="AG64" s="281">
        <v>0</v>
      </c>
      <c r="AH64" s="205">
        <f>SUM(AC64:AG64)</f>
        <v>0</v>
      </c>
      <c r="AI64" s="205">
        <f>O64+AB64-AH64</f>
        <v>2514.6</v>
      </c>
      <c r="AJ64" s="205"/>
      <c r="AK64" s="255"/>
    </row>
    <row r="65" spans="2:38" ht="24" customHeight="1" x14ac:dyDescent="0.25">
      <c r="B65" s="171">
        <v>41</v>
      </c>
      <c r="C65" s="161" t="s">
        <v>520</v>
      </c>
      <c r="D65" s="191" t="s">
        <v>160</v>
      </c>
      <c r="E65" s="176"/>
      <c r="F65" s="191">
        <v>15</v>
      </c>
      <c r="G65" s="204">
        <v>129.72999999999999</v>
      </c>
      <c r="H65" s="205">
        <f>F65*G65</f>
        <v>1945.9499999999998</v>
      </c>
      <c r="I65" s="206">
        <v>0</v>
      </c>
      <c r="J65" s="206">
        <v>0</v>
      </c>
      <c r="K65" s="206">
        <v>0</v>
      </c>
      <c r="L65" s="206">
        <v>0</v>
      </c>
      <c r="M65" s="206">
        <v>0</v>
      </c>
      <c r="N65" s="206">
        <v>0</v>
      </c>
      <c r="O65" s="205">
        <f>SUM(H65:N65)</f>
        <v>1945.9499999999998</v>
      </c>
      <c r="P65" s="207"/>
      <c r="Q65" s="205">
        <f>IF(G65=47.16,0,IF(G65&gt;47.16,L65*0.5,0))</f>
        <v>0</v>
      </c>
      <c r="R65" s="205">
        <f>H65+I65+J65+M65+Q65+K65</f>
        <v>1945.9499999999998</v>
      </c>
      <c r="S65" s="205">
        <f>VLOOKUP(R65,TARIFA1,1)</f>
        <v>318.01</v>
      </c>
      <c r="T65" s="205">
        <f>R65-S65</f>
        <v>1627.9399999999998</v>
      </c>
      <c r="U65" s="208">
        <f>VLOOKUP(R65,TARIFA1,3)</f>
        <v>6.4000000000000001E-2</v>
      </c>
      <c r="V65" s="205">
        <f>T65*U65</f>
        <v>104.18816</v>
      </c>
      <c r="W65" s="205">
        <f>VLOOKUP(R65,TARIFA1,2)</f>
        <v>6.15</v>
      </c>
      <c r="X65" s="205">
        <f>V65+W65</f>
        <v>110.33816</v>
      </c>
      <c r="Y65" s="205">
        <f>VLOOKUP(R65,Credito1,2)</f>
        <v>188.7</v>
      </c>
      <c r="Z65" s="205">
        <f>ROUND(X65-Y65,2)</f>
        <v>-78.36</v>
      </c>
      <c r="AA65" s="209"/>
      <c r="AB65" s="205">
        <f>-IF(Z65&gt;0,0,Z65)</f>
        <v>78.36</v>
      </c>
      <c r="AC65" s="205">
        <f>IF(Z65&lt;0,0,Z65)</f>
        <v>0</v>
      </c>
      <c r="AD65" s="205">
        <v>0</v>
      </c>
      <c r="AE65" s="206">
        <v>0</v>
      </c>
      <c r="AF65" s="206">
        <v>0</v>
      </c>
      <c r="AG65" s="281">
        <v>0</v>
      </c>
      <c r="AH65" s="205">
        <f>SUM(AC65:AG65)</f>
        <v>0</v>
      </c>
      <c r="AI65" s="205">
        <f t="shared" ref="AI65:AI68" si="66">O65+AB65-AH65</f>
        <v>2024.3099999999997</v>
      </c>
      <c r="AJ65" s="205"/>
      <c r="AK65" s="255"/>
    </row>
    <row r="66" spans="2:38" ht="24" customHeight="1" x14ac:dyDescent="0.25">
      <c r="B66" s="171">
        <v>42</v>
      </c>
      <c r="C66" s="161" t="s">
        <v>380</v>
      </c>
      <c r="D66" s="191" t="s">
        <v>148</v>
      </c>
      <c r="E66" s="176"/>
      <c r="F66" s="191">
        <v>15</v>
      </c>
      <c r="G66" s="204">
        <v>179.13</v>
      </c>
      <c r="H66" s="205">
        <f>F66*G66</f>
        <v>2686.95</v>
      </c>
      <c r="I66" s="206">
        <v>0</v>
      </c>
      <c r="J66" s="206">
        <v>0</v>
      </c>
      <c r="K66" s="206">
        <v>0</v>
      </c>
      <c r="L66" s="206">
        <v>0</v>
      </c>
      <c r="M66" s="206">
        <v>0</v>
      </c>
      <c r="N66" s="206">
        <v>0</v>
      </c>
      <c r="O66" s="205">
        <f t="shared" ref="O66:O68" si="67">SUM(H66:N66)</f>
        <v>2686.95</v>
      </c>
      <c r="P66" s="207"/>
      <c r="Q66" s="205">
        <f>IF(G66=47.16,0,IF(G66&gt;47.16,L66*0.5,0))</f>
        <v>0</v>
      </c>
      <c r="R66" s="205">
        <f>H66+I66+J66+M66+Q66+K66</f>
        <v>2686.95</v>
      </c>
      <c r="S66" s="205">
        <f>VLOOKUP(R66,TARIFA1,1)</f>
        <v>318.01</v>
      </c>
      <c r="T66" s="205">
        <f>R66-S66</f>
        <v>2368.9399999999996</v>
      </c>
      <c r="U66" s="208">
        <f>VLOOKUP(R66,TARIFA1,3)</f>
        <v>6.4000000000000001E-2</v>
      </c>
      <c r="V66" s="205">
        <f>T66*U66</f>
        <v>151.61215999999999</v>
      </c>
      <c r="W66" s="205">
        <f>VLOOKUP(R66,TARIFA1,2)</f>
        <v>6.15</v>
      </c>
      <c r="X66" s="205">
        <f>V66+W66</f>
        <v>157.76215999999999</v>
      </c>
      <c r="Y66" s="205">
        <f>VLOOKUP(R66,Credito1,2)</f>
        <v>145.35</v>
      </c>
      <c r="Z66" s="205">
        <f>ROUND(X66-Y66,2)</f>
        <v>12.41</v>
      </c>
      <c r="AA66" s="209"/>
      <c r="AB66" s="205">
        <f>-IF(Z66&gt;0,0,Z66)</f>
        <v>0</v>
      </c>
      <c r="AC66" s="205">
        <f>IF(Z66&lt;0,0,Z66)</f>
        <v>12.41</v>
      </c>
      <c r="AD66" s="205">
        <v>0</v>
      </c>
      <c r="AE66" s="205">
        <v>0</v>
      </c>
      <c r="AF66" s="205">
        <v>0</v>
      </c>
      <c r="AG66" s="281">
        <v>0</v>
      </c>
      <c r="AH66" s="205">
        <f>SUM(AC66:AG66)</f>
        <v>12.41</v>
      </c>
      <c r="AI66" s="205">
        <f t="shared" si="66"/>
        <v>2674.54</v>
      </c>
      <c r="AJ66" s="205"/>
      <c r="AK66" s="255"/>
    </row>
    <row r="67" spans="2:38" ht="24" customHeight="1" x14ac:dyDescent="0.25">
      <c r="B67" s="171">
        <v>43</v>
      </c>
      <c r="C67" s="161" t="s">
        <v>345</v>
      </c>
      <c r="D67" s="191" t="s">
        <v>148</v>
      </c>
      <c r="E67" s="176"/>
      <c r="F67" s="191">
        <v>15</v>
      </c>
      <c r="G67" s="204">
        <v>179.13</v>
      </c>
      <c r="H67" s="205">
        <f>F67*G67</f>
        <v>2686.95</v>
      </c>
      <c r="I67" s="206">
        <v>0</v>
      </c>
      <c r="J67" s="206">
        <v>0</v>
      </c>
      <c r="K67" s="206">
        <v>0</v>
      </c>
      <c r="L67" s="206">
        <v>0</v>
      </c>
      <c r="M67" s="206">
        <v>0</v>
      </c>
      <c r="N67" s="206">
        <v>0</v>
      </c>
      <c r="O67" s="205">
        <f t="shared" si="67"/>
        <v>2686.95</v>
      </c>
      <c r="P67" s="207"/>
      <c r="Q67" s="205">
        <v>0</v>
      </c>
      <c r="R67" s="205">
        <f>H67+I67+J67+M67+Q67+K67</f>
        <v>2686.95</v>
      </c>
      <c r="S67" s="205">
        <f>VLOOKUP(R67,TARIFA1,1)</f>
        <v>318.01</v>
      </c>
      <c r="T67" s="205">
        <f>R67-S67</f>
        <v>2368.9399999999996</v>
      </c>
      <c r="U67" s="208">
        <f>VLOOKUP(R67,TARIFA1,3)</f>
        <v>6.4000000000000001E-2</v>
      </c>
      <c r="V67" s="205">
        <f>T67*U67</f>
        <v>151.61215999999999</v>
      </c>
      <c r="W67" s="205">
        <f>VLOOKUP(R67,TARIFA1,2)</f>
        <v>6.15</v>
      </c>
      <c r="X67" s="205">
        <f>V67+W67</f>
        <v>157.76215999999999</v>
      </c>
      <c r="Y67" s="205">
        <f>VLOOKUP(R67,Credito1,2)</f>
        <v>145.35</v>
      </c>
      <c r="Z67" s="205">
        <f>ROUND(X67-Y67,2)</f>
        <v>12.41</v>
      </c>
      <c r="AA67" s="209"/>
      <c r="AB67" s="205">
        <f>-IF(Z67&gt;0,0,Z67)</f>
        <v>0</v>
      </c>
      <c r="AC67" s="205">
        <f>IF(Z67&lt;0,0,Z67)</f>
        <v>12.41</v>
      </c>
      <c r="AD67" s="205">
        <v>0</v>
      </c>
      <c r="AE67" s="205">
        <v>0</v>
      </c>
      <c r="AF67" s="205">
        <v>0</v>
      </c>
      <c r="AG67" s="281">
        <v>0</v>
      </c>
      <c r="AH67" s="205">
        <f>SUM(AC67:AG67)</f>
        <v>12.41</v>
      </c>
      <c r="AI67" s="205">
        <f t="shared" si="66"/>
        <v>2674.54</v>
      </c>
      <c r="AJ67" s="205"/>
      <c r="AK67" s="255"/>
    </row>
    <row r="68" spans="2:38" ht="24" customHeight="1" x14ac:dyDescent="0.25">
      <c r="B68" s="171">
        <v>44</v>
      </c>
      <c r="C68" s="161" t="s">
        <v>507</v>
      </c>
      <c r="D68" s="191" t="s">
        <v>148</v>
      </c>
      <c r="E68" s="176"/>
      <c r="F68" s="191">
        <v>15</v>
      </c>
      <c r="G68" s="204">
        <v>179.13</v>
      </c>
      <c r="H68" s="205">
        <f>F68*G68</f>
        <v>2686.95</v>
      </c>
      <c r="I68" s="206">
        <v>0</v>
      </c>
      <c r="J68" s="206">
        <v>0</v>
      </c>
      <c r="K68" s="206">
        <v>0</v>
      </c>
      <c r="L68" s="206">
        <v>0</v>
      </c>
      <c r="M68" s="206">
        <v>0</v>
      </c>
      <c r="N68" s="206">
        <v>0</v>
      </c>
      <c r="O68" s="205">
        <f t="shared" si="67"/>
        <v>2686.95</v>
      </c>
      <c r="P68" s="207"/>
      <c r="Q68" s="205">
        <f>IF(G68=47.16,0,IF(G68&gt;47.16,L68*0.5,0))</f>
        <v>0</v>
      </c>
      <c r="R68" s="205">
        <f>H68+I68+J68+M68+Q68+K68</f>
        <v>2686.95</v>
      </c>
      <c r="S68" s="205">
        <f>VLOOKUP(R68,TARIFA1,1)</f>
        <v>318.01</v>
      </c>
      <c r="T68" s="205">
        <f>R68-S68</f>
        <v>2368.9399999999996</v>
      </c>
      <c r="U68" s="208">
        <f>VLOOKUP(R68,TARIFA1,3)</f>
        <v>6.4000000000000001E-2</v>
      </c>
      <c r="V68" s="205">
        <f>T68*U68</f>
        <v>151.61215999999999</v>
      </c>
      <c r="W68" s="205">
        <f>VLOOKUP(R68,TARIFA1,2)</f>
        <v>6.15</v>
      </c>
      <c r="X68" s="205">
        <f>V68+W68</f>
        <v>157.76215999999999</v>
      </c>
      <c r="Y68" s="205">
        <f>VLOOKUP(R68,Credito1,2)</f>
        <v>145.35</v>
      </c>
      <c r="Z68" s="205">
        <f>ROUND(X68-Y68,2)</f>
        <v>12.41</v>
      </c>
      <c r="AA68" s="209"/>
      <c r="AB68" s="205">
        <f>-IF(Z68&gt;0,0,Z68)</f>
        <v>0</v>
      </c>
      <c r="AC68" s="205">
        <f>IF(Z68&lt;0,0,Z68)</f>
        <v>12.41</v>
      </c>
      <c r="AD68" s="205">
        <v>0</v>
      </c>
      <c r="AE68" s="206">
        <v>0</v>
      </c>
      <c r="AF68" s="206">
        <v>0</v>
      </c>
      <c r="AG68" s="281">
        <v>0</v>
      </c>
      <c r="AH68" s="205">
        <f>SUM(AC68:AG68)</f>
        <v>12.41</v>
      </c>
      <c r="AI68" s="205">
        <f t="shared" si="66"/>
        <v>2674.54</v>
      </c>
      <c r="AJ68" s="205"/>
      <c r="AK68" s="255"/>
    </row>
    <row r="69" spans="2:38" ht="24" customHeight="1" x14ac:dyDescent="0.25">
      <c r="B69" s="171"/>
      <c r="C69" s="161"/>
      <c r="D69" s="275" t="s">
        <v>111</v>
      </c>
      <c r="E69" s="443"/>
      <c r="F69" s="444"/>
      <c r="G69" s="445"/>
      <c r="H69" s="280">
        <f>SUM(H64:H68)</f>
        <v>12506.849999999999</v>
      </c>
      <c r="I69" s="280">
        <f t="shared" ref="I69:AF69" si="68">SUM(I65:I68)</f>
        <v>0</v>
      </c>
      <c r="J69" s="205">
        <f t="shared" si="68"/>
        <v>0</v>
      </c>
      <c r="K69" s="280">
        <f t="shared" si="68"/>
        <v>0</v>
      </c>
      <c r="L69" s="205">
        <f t="shared" si="68"/>
        <v>0</v>
      </c>
      <c r="M69" s="280">
        <f t="shared" si="68"/>
        <v>0</v>
      </c>
      <c r="N69" s="205">
        <f t="shared" si="68"/>
        <v>0</v>
      </c>
      <c r="O69" s="280">
        <f>SUM(O64:O68)</f>
        <v>12506.849999999999</v>
      </c>
      <c r="P69" s="280">
        <f t="shared" si="68"/>
        <v>0</v>
      </c>
      <c r="Q69" s="205">
        <f t="shared" si="68"/>
        <v>0</v>
      </c>
      <c r="R69" s="280">
        <f t="shared" si="68"/>
        <v>10006.799999999999</v>
      </c>
      <c r="S69" s="280">
        <f t="shared" si="68"/>
        <v>1272.04</v>
      </c>
      <c r="T69" s="280">
        <f t="shared" si="68"/>
        <v>8734.7599999999984</v>
      </c>
      <c r="U69" s="280">
        <f t="shared" si="68"/>
        <v>0.25600000000000001</v>
      </c>
      <c r="V69" s="280">
        <f t="shared" si="68"/>
        <v>559.02463999999998</v>
      </c>
      <c r="W69" s="280">
        <f t="shared" si="68"/>
        <v>24.6</v>
      </c>
      <c r="X69" s="280">
        <f t="shared" si="68"/>
        <v>583.62464</v>
      </c>
      <c r="Y69" s="280">
        <f t="shared" si="68"/>
        <v>624.75</v>
      </c>
      <c r="Z69" s="280">
        <f t="shared" si="68"/>
        <v>-41.13000000000001</v>
      </c>
      <c r="AA69" s="280"/>
      <c r="AB69" s="280">
        <f>SUM(AB64:AB68)</f>
        <v>92.91</v>
      </c>
      <c r="AC69" s="280">
        <f>SUM(AC64:AC68)</f>
        <v>37.230000000000004</v>
      </c>
      <c r="AD69" s="280">
        <f t="shared" si="68"/>
        <v>0</v>
      </c>
      <c r="AE69" s="280">
        <f t="shared" si="68"/>
        <v>0</v>
      </c>
      <c r="AF69" s="280">
        <f t="shared" si="68"/>
        <v>0</v>
      </c>
      <c r="AG69" s="280">
        <f>SUM(AG64:AG68)</f>
        <v>0</v>
      </c>
      <c r="AH69" s="280">
        <f>SUM(AH64:AH68)</f>
        <v>37.230000000000004</v>
      </c>
      <c r="AI69" s="280">
        <f>SUM(AI64:AI68)</f>
        <v>12562.529999999999</v>
      </c>
      <c r="AJ69" s="171"/>
      <c r="AK69" s="255"/>
      <c r="AL69" s="108">
        <f>O69+AB69-AH69</f>
        <v>12562.529999999999</v>
      </c>
    </row>
    <row r="70" spans="2:38" ht="29.25" customHeight="1" x14ac:dyDescent="0.25">
      <c r="B70" s="426" t="s">
        <v>125</v>
      </c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6"/>
      <c r="AD70" s="426"/>
      <c r="AE70" s="426"/>
      <c r="AF70" s="426"/>
      <c r="AG70" s="426"/>
      <c r="AH70" s="426"/>
      <c r="AI70" s="426"/>
      <c r="AJ70" s="426"/>
      <c r="AK70" s="255"/>
    </row>
    <row r="71" spans="2:38" s="103" customFormat="1" ht="24" customHeight="1" x14ac:dyDescent="0.25">
      <c r="B71" s="171">
        <v>45</v>
      </c>
      <c r="C71" s="160" t="s">
        <v>422</v>
      </c>
      <c r="D71" s="191" t="s">
        <v>121</v>
      </c>
      <c r="E71" s="176"/>
      <c r="F71" s="191">
        <v>15</v>
      </c>
      <c r="G71" s="204">
        <v>106.67</v>
      </c>
      <c r="H71" s="205">
        <f t="shared" ref="H71:H79" si="69">F71*G71</f>
        <v>1600.05</v>
      </c>
      <c r="I71" s="205">
        <v>0</v>
      </c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f t="shared" ref="O71:O79" si="70">SUM(H71:N71)</f>
        <v>1600.05</v>
      </c>
      <c r="P71" s="205"/>
      <c r="Q71" s="205">
        <v>0</v>
      </c>
      <c r="R71" s="205">
        <f t="shared" ref="R71:R79" si="71">H71+I71+J71+M71+Q71+K71</f>
        <v>1600.05</v>
      </c>
      <c r="S71" s="205">
        <f t="shared" ref="S71:S79" si="72">VLOOKUP(R71,TARIFA1,1)</f>
        <v>318.01</v>
      </c>
      <c r="T71" s="205">
        <f t="shared" ref="T71:T79" si="73">R71-S71</f>
        <v>1282.04</v>
      </c>
      <c r="U71" s="208">
        <f t="shared" ref="U71:U79" si="74">VLOOKUP(R71,TARIFA1,3)</f>
        <v>6.4000000000000001E-2</v>
      </c>
      <c r="V71" s="205">
        <f t="shared" ref="V71:V79" si="75">T71*U71</f>
        <v>82.050560000000004</v>
      </c>
      <c r="W71" s="205">
        <f t="shared" ref="W71:W79" si="76">VLOOKUP(R71,TARIFA1,2)</f>
        <v>6.15</v>
      </c>
      <c r="X71" s="205">
        <f t="shared" ref="X71:X79" si="77">V71+W71</f>
        <v>88.20056000000001</v>
      </c>
      <c r="Y71" s="205">
        <f t="shared" ref="Y71:Y79" si="78">VLOOKUP(R71,Credito1,2)</f>
        <v>200.7</v>
      </c>
      <c r="Z71" s="205">
        <f t="shared" ref="Z71:Z79" si="79">ROUND(X71-Y71,2)</f>
        <v>-112.5</v>
      </c>
      <c r="AA71" s="205"/>
      <c r="AB71" s="205">
        <f t="shared" ref="AB71:AB79" si="80">-IF(Z71&gt;0,0,Z71)</f>
        <v>112.5</v>
      </c>
      <c r="AC71" s="205">
        <f t="shared" ref="AC71:AC79" si="81">IF(Z71&lt;0,0,Z71)</f>
        <v>0</v>
      </c>
      <c r="AD71" s="205">
        <v>0</v>
      </c>
      <c r="AE71" s="206">
        <v>0</v>
      </c>
      <c r="AF71" s="206">
        <v>0</v>
      </c>
      <c r="AG71" s="281">
        <v>0</v>
      </c>
      <c r="AH71" s="205">
        <f t="shared" ref="AH71:AH79" si="82">SUM(AC71:AG71)</f>
        <v>0</v>
      </c>
      <c r="AI71" s="205">
        <f>O71+AB71-AH71</f>
        <v>1712.55</v>
      </c>
      <c r="AJ71" s="205"/>
      <c r="AK71" s="255"/>
    </row>
    <row r="72" spans="2:38" s="103" customFormat="1" ht="24" customHeight="1" x14ac:dyDescent="0.25">
      <c r="B72" s="171">
        <v>46</v>
      </c>
      <c r="C72" s="160" t="s">
        <v>261</v>
      </c>
      <c r="D72" s="191" t="s">
        <v>126</v>
      </c>
      <c r="E72" s="176"/>
      <c r="F72" s="191">
        <v>15</v>
      </c>
      <c r="G72" s="204">
        <v>298.87</v>
      </c>
      <c r="H72" s="205">
        <f t="shared" si="69"/>
        <v>4483.05</v>
      </c>
      <c r="I72" s="205">
        <v>0</v>
      </c>
      <c r="J72" s="205">
        <v>0</v>
      </c>
      <c r="K72" s="205">
        <v>0</v>
      </c>
      <c r="L72" s="205">
        <v>0</v>
      </c>
      <c r="M72" s="205">
        <v>0</v>
      </c>
      <c r="N72" s="205">
        <v>0</v>
      </c>
      <c r="O72" s="205">
        <f t="shared" si="70"/>
        <v>4483.05</v>
      </c>
      <c r="P72" s="205"/>
      <c r="Q72" s="205">
        <v>0</v>
      </c>
      <c r="R72" s="205">
        <f t="shared" si="71"/>
        <v>4483.05</v>
      </c>
      <c r="S72" s="205">
        <f t="shared" si="72"/>
        <v>2699.41</v>
      </c>
      <c r="T72" s="205">
        <f t="shared" si="73"/>
        <v>1783.6400000000003</v>
      </c>
      <c r="U72" s="208">
        <f t="shared" si="74"/>
        <v>0.10879999999999999</v>
      </c>
      <c r="V72" s="205">
        <f t="shared" si="75"/>
        <v>194.06003200000004</v>
      </c>
      <c r="W72" s="205">
        <f t="shared" si="76"/>
        <v>158.55000000000001</v>
      </c>
      <c r="X72" s="205">
        <f t="shared" si="77"/>
        <v>352.61003200000005</v>
      </c>
      <c r="Y72" s="205">
        <f t="shared" si="78"/>
        <v>0</v>
      </c>
      <c r="Z72" s="205">
        <f t="shared" si="79"/>
        <v>352.61</v>
      </c>
      <c r="AA72" s="205"/>
      <c r="AB72" s="205">
        <f t="shared" si="80"/>
        <v>0</v>
      </c>
      <c r="AC72" s="205">
        <f t="shared" si="81"/>
        <v>352.61</v>
      </c>
      <c r="AD72" s="205">
        <v>0</v>
      </c>
      <c r="AE72" s="206">
        <v>0</v>
      </c>
      <c r="AF72" s="206">
        <v>0</v>
      </c>
      <c r="AG72" s="281">
        <v>0</v>
      </c>
      <c r="AH72" s="205">
        <f t="shared" si="82"/>
        <v>352.61</v>
      </c>
      <c r="AI72" s="205">
        <f>O72+AB72-AH72</f>
        <v>4130.4400000000005</v>
      </c>
      <c r="AJ72" s="205"/>
      <c r="AK72" s="255"/>
    </row>
    <row r="73" spans="2:38" ht="23.25" customHeight="1" x14ac:dyDescent="0.25">
      <c r="B73" s="171">
        <v>47</v>
      </c>
      <c r="C73" s="161" t="s">
        <v>361</v>
      </c>
      <c r="D73" s="191" t="s">
        <v>126</v>
      </c>
      <c r="E73" s="176"/>
      <c r="F73" s="191">
        <v>15</v>
      </c>
      <c r="G73" s="204">
        <v>174.8</v>
      </c>
      <c r="H73" s="205">
        <f t="shared" si="69"/>
        <v>2622</v>
      </c>
      <c r="I73" s="206">
        <v>0</v>
      </c>
      <c r="J73" s="206">
        <v>0</v>
      </c>
      <c r="K73" s="206">
        <v>0</v>
      </c>
      <c r="L73" s="206">
        <v>0</v>
      </c>
      <c r="M73" s="206">
        <v>0</v>
      </c>
      <c r="N73" s="206">
        <v>0</v>
      </c>
      <c r="O73" s="205">
        <f t="shared" si="70"/>
        <v>2622</v>
      </c>
      <c r="P73" s="207"/>
      <c r="Q73" s="205">
        <f t="shared" ref="Q73:Q79" si="83">IF(G73=47.16,0,IF(G73&gt;47.16,L73*0.5,0))</f>
        <v>0</v>
      </c>
      <c r="R73" s="205">
        <f t="shared" si="71"/>
        <v>2622</v>
      </c>
      <c r="S73" s="205">
        <f t="shared" si="72"/>
        <v>318.01</v>
      </c>
      <c r="T73" s="205">
        <f t="shared" si="73"/>
        <v>2303.9899999999998</v>
      </c>
      <c r="U73" s="208">
        <f t="shared" si="74"/>
        <v>6.4000000000000001E-2</v>
      </c>
      <c r="V73" s="205">
        <f t="shared" si="75"/>
        <v>147.45535999999998</v>
      </c>
      <c r="W73" s="205">
        <f t="shared" si="76"/>
        <v>6.15</v>
      </c>
      <c r="X73" s="205">
        <f t="shared" si="77"/>
        <v>153.60535999999999</v>
      </c>
      <c r="Y73" s="205">
        <f t="shared" si="78"/>
        <v>160.35</v>
      </c>
      <c r="Z73" s="205">
        <f t="shared" si="79"/>
        <v>-6.74</v>
      </c>
      <c r="AA73" s="209"/>
      <c r="AB73" s="205">
        <f t="shared" si="80"/>
        <v>6.74</v>
      </c>
      <c r="AC73" s="205">
        <f t="shared" si="81"/>
        <v>0</v>
      </c>
      <c r="AD73" s="205">
        <v>0</v>
      </c>
      <c r="AE73" s="206">
        <v>0</v>
      </c>
      <c r="AF73" s="206">
        <v>0</v>
      </c>
      <c r="AG73" s="281">
        <v>0</v>
      </c>
      <c r="AH73" s="205">
        <f t="shared" si="82"/>
        <v>0</v>
      </c>
      <c r="AI73" s="205">
        <f t="shared" ref="AI73:AI79" si="84">O73+AB73-AH73</f>
        <v>2628.74</v>
      </c>
      <c r="AJ73" s="205"/>
      <c r="AK73" s="255"/>
    </row>
    <row r="74" spans="2:38" ht="25.5" customHeight="1" x14ac:dyDescent="0.25">
      <c r="B74" s="171">
        <v>48</v>
      </c>
      <c r="C74" s="161" t="s">
        <v>338</v>
      </c>
      <c r="D74" s="191" t="s">
        <v>133</v>
      </c>
      <c r="E74" s="211"/>
      <c r="F74" s="191">
        <v>15</v>
      </c>
      <c r="G74" s="204">
        <v>108.6</v>
      </c>
      <c r="H74" s="205">
        <f t="shared" si="69"/>
        <v>1629</v>
      </c>
      <c r="I74" s="206">
        <v>0</v>
      </c>
      <c r="J74" s="206">
        <v>0</v>
      </c>
      <c r="K74" s="206">
        <v>0</v>
      </c>
      <c r="L74" s="206">
        <v>0</v>
      </c>
      <c r="M74" s="206">
        <v>0</v>
      </c>
      <c r="N74" s="206">
        <v>0</v>
      </c>
      <c r="O74" s="205">
        <f t="shared" si="70"/>
        <v>1629</v>
      </c>
      <c r="P74" s="207"/>
      <c r="Q74" s="205">
        <f t="shared" si="83"/>
        <v>0</v>
      </c>
      <c r="R74" s="205">
        <f t="shared" si="71"/>
        <v>1629</v>
      </c>
      <c r="S74" s="205">
        <f t="shared" si="72"/>
        <v>318.01</v>
      </c>
      <c r="T74" s="205">
        <f t="shared" si="73"/>
        <v>1310.99</v>
      </c>
      <c r="U74" s="208">
        <f t="shared" si="74"/>
        <v>6.4000000000000001E-2</v>
      </c>
      <c r="V74" s="205">
        <f t="shared" si="75"/>
        <v>83.903360000000006</v>
      </c>
      <c r="W74" s="205">
        <f t="shared" si="76"/>
        <v>6.15</v>
      </c>
      <c r="X74" s="205">
        <f t="shared" si="77"/>
        <v>90.053360000000012</v>
      </c>
      <c r="Y74" s="205">
        <f t="shared" si="78"/>
        <v>200.7</v>
      </c>
      <c r="Z74" s="205">
        <f t="shared" si="79"/>
        <v>-110.65</v>
      </c>
      <c r="AA74" s="209"/>
      <c r="AB74" s="205">
        <f t="shared" si="80"/>
        <v>110.65</v>
      </c>
      <c r="AC74" s="205">
        <f t="shared" si="81"/>
        <v>0</v>
      </c>
      <c r="AD74" s="205">
        <v>0</v>
      </c>
      <c r="AE74" s="206">
        <v>0</v>
      </c>
      <c r="AF74" s="206">
        <v>0</v>
      </c>
      <c r="AG74" s="281">
        <v>0</v>
      </c>
      <c r="AH74" s="205">
        <f t="shared" si="82"/>
        <v>0</v>
      </c>
      <c r="AI74" s="205">
        <f t="shared" si="84"/>
        <v>1739.65</v>
      </c>
      <c r="AJ74" s="205"/>
      <c r="AK74" s="255"/>
    </row>
    <row r="75" spans="2:38" ht="25.5" customHeight="1" x14ac:dyDescent="0.25">
      <c r="B75" s="171">
        <v>49</v>
      </c>
      <c r="C75" s="161" t="s">
        <v>462</v>
      </c>
      <c r="D75" s="191" t="s">
        <v>133</v>
      </c>
      <c r="E75" s="176"/>
      <c r="F75" s="191">
        <v>15</v>
      </c>
      <c r="G75" s="204">
        <v>66.67</v>
      </c>
      <c r="H75" s="205">
        <f t="shared" si="69"/>
        <v>1000.0500000000001</v>
      </c>
      <c r="I75" s="206">
        <v>0</v>
      </c>
      <c r="J75" s="206">
        <v>0</v>
      </c>
      <c r="K75" s="206">
        <v>0</v>
      </c>
      <c r="L75" s="206">
        <v>0</v>
      </c>
      <c r="M75" s="206">
        <v>0</v>
      </c>
      <c r="N75" s="206">
        <v>0</v>
      </c>
      <c r="O75" s="205">
        <f t="shared" si="70"/>
        <v>1000.0500000000001</v>
      </c>
      <c r="P75" s="207"/>
      <c r="Q75" s="205">
        <f t="shared" si="83"/>
        <v>0</v>
      </c>
      <c r="R75" s="205">
        <f t="shared" si="71"/>
        <v>1000.0500000000001</v>
      </c>
      <c r="S75" s="205">
        <f t="shared" si="72"/>
        <v>318.01</v>
      </c>
      <c r="T75" s="205">
        <f t="shared" si="73"/>
        <v>682.04000000000008</v>
      </c>
      <c r="U75" s="208">
        <f t="shared" si="74"/>
        <v>6.4000000000000001E-2</v>
      </c>
      <c r="V75" s="205">
        <f t="shared" si="75"/>
        <v>43.650560000000006</v>
      </c>
      <c r="W75" s="205">
        <f t="shared" si="76"/>
        <v>6.15</v>
      </c>
      <c r="X75" s="205">
        <f t="shared" si="77"/>
        <v>49.800560000000004</v>
      </c>
      <c r="Y75" s="205">
        <f t="shared" si="78"/>
        <v>200.7</v>
      </c>
      <c r="Z75" s="205">
        <f t="shared" si="79"/>
        <v>-150.9</v>
      </c>
      <c r="AA75" s="209"/>
      <c r="AB75" s="205">
        <f t="shared" si="80"/>
        <v>150.9</v>
      </c>
      <c r="AC75" s="205">
        <f t="shared" si="81"/>
        <v>0</v>
      </c>
      <c r="AD75" s="205">
        <v>0</v>
      </c>
      <c r="AE75" s="206">
        <v>0</v>
      </c>
      <c r="AF75" s="206">
        <v>0</v>
      </c>
      <c r="AG75" s="281">
        <v>0</v>
      </c>
      <c r="AH75" s="205">
        <f t="shared" si="82"/>
        <v>0</v>
      </c>
      <c r="AI75" s="205">
        <f t="shared" si="84"/>
        <v>1150.95</v>
      </c>
      <c r="AJ75" s="205"/>
      <c r="AK75" s="255"/>
    </row>
    <row r="76" spans="2:38" ht="25.5" customHeight="1" x14ac:dyDescent="0.25">
      <c r="B76" s="171">
        <v>50</v>
      </c>
      <c r="C76" s="161" t="s">
        <v>512</v>
      </c>
      <c r="D76" s="191" t="s">
        <v>133</v>
      </c>
      <c r="E76" s="176"/>
      <c r="F76" s="191">
        <v>15</v>
      </c>
      <c r="G76" s="204">
        <v>128</v>
      </c>
      <c r="H76" s="205">
        <f t="shared" si="69"/>
        <v>1920</v>
      </c>
      <c r="I76" s="206">
        <v>0</v>
      </c>
      <c r="J76" s="206">
        <v>0</v>
      </c>
      <c r="K76" s="206">
        <v>0</v>
      </c>
      <c r="L76" s="206">
        <v>0</v>
      </c>
      <c r="M76" s="206">
        <v>0</v>
      </c>
      <c r="N76" s="206">
        <v>0</v>
      </c>
      <c r="O76" s="205">
        <f t="shared" si="70"/>
        <v>1920</v>
      </c>
      <c r="P76" s="207"/>
      <c r="Q76" s="205">
        <f t="shared" si="83"/>
        <v>0</v>
      </c>
      <c r="R76" s="205">
        <f t="shared" si="71"/>
        <v>1920</v>
      </c>
      <c r="S76" s="205">
        <f t="shared" si="72"/>
        <v>318.01</v>
      </c>
      <c r="T76" s="205">
        <f t="shared" si="73"/>
        <v>1601.99</v>
      </c>
      <c r="U76" s="208">
        <f t="shared" si="74"/>
        <v>6.4000000000000001E-2</v>
      </c>
      <c r="V76" s="205">
        <f t="shared" si="75"/>
        <v>102.52736</v>
      </c>
      <c r="W76" s="205">
        <f t="shared" si="76"/>
        <v>6.15</v>
      </c>
      <c r="X76" s="205">
        <f t="shared" si="77"/>
        <v>108.67736000000001</v>
      </c>
      <c r="Y76" s="205">
        <f t="shared" si="78"/>
        <v>188.7</v>
      </c>
      <c r="Z76" s="205">
        <f t="shared" si="79"/>
        <v>-80.02</v>
      </c>
      <c r="AA76" s="209"/>
      <c r="AB76" s="205">
        <f t="shared" si="80"/>
        <v>80.02</v>
      </c>
      <c r="AC76" s="205">
        <f t="shared" si="81"/>
        <v>0</v>
      </c>
      <c r="AD76" s="205">
        <v>0</v>
      </c>
      <c r="AE76" s="206">
        <v>0</v>
      </c>
      <c r="AF76" s="206">
        <v>0</v>
      </c>
      <c r="AG76" s="281">
        <v>0</v>
      </c>
      <c r="AH76" s="205">
        <f t="shared" si="82"/>
        <v>0</v>
      </c>
      <c r="AI76" s="205">
        <f t="shared" si="84"/>
        <v>2000.02</v>
      </c>
      <c r="AJ76" s="205"/>
      <c r="AK76" s="255"/>
    </row>
    <row r="77" spans="2:38" ht="22.5" customHeight="1" x14ac:dyDescent="0.25">
      <c r="B77" s="171">
        <v>51</v>
      </c>
      <c r="C77" s="161" t="s">
        <v>417</v>
      </c>
      <c r="D77" s="191" t="s">
        <v>133</v>
      </c>
      <c r="E77" s="176"/>
      <c r="F77" s="191">
        <v>15</v>
      </c>
      <c r="G77" s="204">
        <v>128</v>
      </c>
      <c r="H77" s="205">
        <f t="shared" si="69"/>
        <v>1920</v>
      </c>
      <c r="I77" s="206">
        <v>0</v>
      </c>
      <c r="J77" s="206">
        <v>0</v>
      </c>
      <c r="K77" s="206">
        <v>0</v>
      </c>
      <c r="L77" s="206">
        <v>0</v>
      </c>
      <c r="M77" s="206">
        <v>0</v>
      </c>
      <c r="N77" s="206">
        <v>0</v>
      </c>
      <c r="O77" s="205">
        <f t="shared" si="70"/>
        <v>1920</v>
      </c>
      <c r="P77" s="207"/>
      <c r="Q77" s="205">
        <f t="shared" si="83"/>
        <v>0</v>
      </c>
      <c r="R77" s="205">
        <f t="shared" si="71"/>
        <v>1920</v>
      </c>
      <c r="S77" s="205">
        <f t="shared" si="72"/>
        <v>318.01</v>
      </c>
      <c r="T77" s="205">
        <f t="shared" si="73"/>
        <v>1601.99</v>
      </c>
      <c r="U77" s="208">
        <f t="shared" si="74"/>
        <v>6.4000000000000001E-2</v>
      </c>
      <c r="V77" s="205">
        <f t="shared" si="75"/>
        <v>102.52736</v>
      </c>
      <c r="W77" s="205">
        <f t="shared" si="76"/>
        <v>6.15</v>
      </c>
      <c r="X77" s="205">
        <f t="shared" si="77"/>
        <v>108.67736000000001</v>
      </c>
      <c r="Y77" s="205">
        <f t="shared" si="78"/>
        <v>188.7</v>
      </c>
      <c r="Z77" s="205">
        <f t="shared" si="79"/>
        <v>-80.02</v>
      </c>
      <c r="AA77" s="209"/>
      <c r="AB77" s="205">
        <f t="shared" si="80"/>
        <v>80.02</v>
      </c>
      <c r="AC77" s="205">
        <f t="shared" si="81"/>
        <v>0</v>
      </c>
      <c r="AD77" s="205">
        <v>0</v>
      </c>
      <c r="AE77" s="206">
        <v>0</v>
      </c>
      <c r="AF77" s="206">
        <v>0</v>
      </c>
      <c r="AG77" s="281">
        <v>0</v>
      </c>
      <c r="AH77" s="205">
        <f t="shared" si="82"/>
        <v>0</v>
      </c>
      <c r="AI77" s="205">
        <f t="shared" si="84"/>
        <v>2000.02</v>
      </c>
      <c r="AJ77" s="205"/>
      <c r="AK77" s="255"/>
    </row>
    <row r="78" spans="2:38" ht="22.5" customHeight="1" x14ac:dyDescent="0.25">
      <c r="B78" s="171">
        <v>52</v>
      </c>
      <c r="C78" s="161" t="s">
        <v>465</v>
      </c>
      <c r="D78" s="191" t="s">
        <v>269</v>
      </c>
      <c r="E78" s="176"/>
      <c r="F78" s="191">
        <v>15</v>
      </c>
      <c r="G78" s="204">
        <v>100</v>
      </c>
      <c r="H78" s="205">
        <f t="shared" si="69"/>
        <v>1500</v>
      </c>
      <c r="I78" s="206">
        <v>0</v>
      </c>
      <c r="J78" s="206">
        <v>0</v>
      </c>
      <c r="K78" s="206">
        <v>0</v>
      </c>
      <c r="L78" s="206">
        <v>0</v>
      </c>
      <c r="M78" s="206">
        <v>0</v>
      </c>
      <c r="N78" s="206">
        <v>0</v>
      </c>
      <c r="O78" s="205">
        <f t="shared" si="70"/>
        <v>1500</v>
      </c>
      <c r="P78" s="207"/>
      <c r="Q78" s="205">
        <f t="shared" si="83"/>
        <v>0</v>
      </c>
      <c r="R78" s="205">
        <f t="shared" si="71"/>
        <v>1500</v>
      </c>
      <c r="S78" s="205">
        <f t="shared" si="72"/>
        <v>318.01</v>
      </c>
      <c r="T78" s="205">
        <f t="shared" si="73"/>
        <v>1181.99</v>
      </c>
      <c r="U78" s="208">
        <f t="shared" si="74"/>
        <v>6.4000000000000001E-2</v>
      </c>
      <c r="V78" s="205">
        <f t="shared" si="75"/>
        <v>75.647360000000006</v>
      </c>
      <c r="W78" s="205">
        <f t="shared" si="76"/>
        <v>6.15</v>
      </c>
      <c r="X78" s="205">
        <f t="shared" si="77"/>
        <v>81.797360000000012</v>
      </c>
      <c r="Y78" s="205">
        <f t="shared" si="78"/>
        <v>200.7</v>
      </c>
      <c r="Z78" s="205">
        <f t="shared" si="79"/>
        <v>-118.9</v>
      </c>
      <c r="AA78" s="209"/>
      <c r="AB78" s="205">
        <f t="shared" si="80"/>
        <v>118.9</v>
      </c>
      <c r="AC78" s="205">
        <f t="shared" si="81"/>
        <v>0</v>
      </c>
      <c r="AD78" s="205">
        <v>0</v>
      </c>
      <c r="AE78" s="206">
        <v>0</v>
      </c>
      <c r="AF78" s="206">
        <v>0</v>
      </c>
      <c r="AG78" s="281">
        <v>0</v>
      </c>
      <c r="AH78" s="205">
        <f t="shared" si="82"/>
        <v>0</v>
      </c>
      <c r="AI78" s="205">
        <f t="shared" si="84"/>
        <v>1618.9</v>
      </c>
      <c r="AJ78" s="205"/>
      <c r="AK78" s="255"/>
    </row>
    <row r="79" spans="2:38" ht="22.5" customHeight="1" x14ac:dyDescent="0.25">
      <c r="B79" s="171">
        <v>53</v>
      </c>
      <c r="C79" s="161" t="s">
        <v>435</v>
      </c>
      <c r="D79" s="191" t="s">
        <v>146</v>
      </c>
      <c r="E79" s="176"/>
      <c r="F79" s="191">
        <v>15</v>
      </c>
      <c r="G79" s="204">
        <v>96.33</v>
      </c>
      <c r="H79" s="205">
        <f t="shared" si="69"/>
        <v>1444.95</v>
      </c>
      <c r="I79" s="206">
        <v>0</v>
      </c>
      <c r="J79" s="206">
        <v>0</v>
      </c>
      <c r="K79" s="206">
        <v>0</v>
      </c>
      <c r="L79" s="206">
        <v>0</v>
      </c>
      <c r="M79" s="206">
        <v>0</v>
      </c>
      <c r="N79" s="206">
        <v>0</v>
      </c>
      <c r="O79" s="205">
        <f t="shared" si="70"/>
        <v>1444.95</v>
      </c>
      <c r="P79" s="207"/>
      <c r="Q79" s="205">
        <f t="shared" si="83"/>
        <v>0</v>
      </c>
      <c r="R79" s="205">
        <f t="shared" si="71"/>
        <v>1444.95</v>
      </c>
      <c r="S79" s="205">
        <f t="shared" si="72"/>
        <v>318.01</v>
      </c>
      <c r="T79" s="205">
        <f t="shared" si="73"/>
        <v>1126.94</v>
      </c>
      <c r="U79" s="208">
        <f t="shared" si="74"/>
        <v>6.4000000000000001E-2</v>
      </c>
      <c r="V79" s="205">
        <f t="shared" si="75"/>
        <v>72.124160000000003</v>
      </c>
      <c r="W79" s="205">
        <f t="shared" si="76"/>
        <v>6.15</v>
      </c>
      <c r="X79" s="205">
        <f t="shared" si="77"/>
        <v>78.274160000000009</v>
      </c>
      <c r="Y79" s="205">
        <f t="shared" si="78"/>
        <v>200.7</v>
      </c>
      <c r="Z79" s="205">
        <f t="shared" si="79"/>
        <v>-122.43</v>
      </c>
      <c r="AA79" s="209"/>
      <c r="AB79" s="205">
        <f t="shared" si="80"/>
        <v>122.43</v>
      </c>
      <c r="AC79" s="205">
        <f t="shared" si="81"/>
        <v>0</v>
      </c>
      <c r="AD79" s="205">
        <v>0</v>
      </c>
      <c r="AE79" s="206">
        <v>0</v>
      </c>
      <c r="AF79" s="206">
        <v>0</v>
      </c>
      <c r="AG79" s="281">
        <v>0</v>
      </c>
      <c r="AH79" s="205">
        <f t="shared" si="82"/>
        <v>0</v>
      </c>
      <c r="AI79" s="205">
        <f t="shared" si="84"/>
        <v>1567.38</v>
      </c>
      <c r="AJ79" s="205"/>
      <c r="AK79" s="255"/>
    </row>
    <row r="80" spans="2:38" ht="22.5" customHeight="1" x14ac:dyDescent="0.25">
      <c r="B80" s="171"/>
      <c r="C80" s="161"/>
      <c r="D80" s="275" t="s">
        <v>111</v>
      </c>
      <c r="E80" s="443"/>
      <c r="F80" s="444"/>
      <c r="G80" s="445"/>
      <c r="H80" s="280">
        <f>SUM(H71:H79)</f>
        <v>18119.100000000002</v>
      </c>
      <c r="I80" s="280">
        <f t="shared" ref="I80:N80" si="85">SUM(I73:I79)</f>
        <v>0</v>
      </c>
      <c r="J80" s="205">
        <f t="shared" si="85"/>
        <v>0</v>
      </c>
      <c r="K80" s="280">
        <f t="shared" si="85"/>
        <v>0</v>
      </c>
      <c r="L80" s="205">
        <f t="shared" si="85"/>
        <v>0</v>
      </c>
      <c r="M80" s="280">
        <f t="shared" si="85"/>
        <v>0</v>
      </c>
      <c r="N80" s="205">
        <f t="shared" si="85"/>
        <v>0</v>
      </c>
      <c r="O80" s="280">
        <f>SUM(O71:O79)</f>
        <v>18119.100000000002</v>
      </c>
      <c r="P80" s="280">
        <f t="shared" ref="P80:Z80" si="86">SUM(P73:P79)</f>
        <v>0</v>
      </c>
      <c r="Q80" s="205">
        <f t="shared" si="86"/>
        <v>0</v>
      </c>
      <c r="R80" s="280">
        <f t="shared" si="86"/>
        <v>12036</v>
      </c>
      <c r="S80" s="280">
        <f t="shared" si="86"/>
        <v>2226.0699999999997</v>
      </c>
      <c r="T80" s="280">
        <f t="shared" si="86"/>
        <v>9809.93</v>
      </c>
      <c r="U80" s="280">
        <f t="shared" si="86"/>
        <v>0.44800000000000001</v>
      </c>
      <c r="V80" s="280">
        <f t="shared" si="86"/>
        <v>627.83551999999997</v>
      </c>
      <c r="W80" s="280">
        <f t="shared" si="86"/>
        <v>43.05</v>
      </c>
      <c r="X80" s="280">
        <f t="shared" si="86"/>
        <v>670.88552000000016</v>
      </c>
      <c r="Y80" s="280">
        <f t="shared" si="86"/>
        <v>1340.5500000000002</v>
      </c>
      <c r="Z80" s="280">
        <f t="shared" si="86"/>
        <v>-669.66000000000008</v>
      </c>
      <c r="AA80" s="280"/>
      <c r="AB80" s="280">
        <f>SUM(AB71:AB79)</f>
        <v>782.15999999999985</v>
      </c>
      <c r="AC80" s="280">
        <f>SUM(AC71:AC79)</f>
        <v>352.61</v>
      </c>
      <c r="AD80" s="280">
        <f>SUM(AD73:AD79)</f>
        <v>0</v>
      </c>
      <c r="AE80" s="280">
        <f>SUM(AE73:AE79)</f>
        <v>0</v>
      </c>
      <c r="AF80" s="280">
        <f>SUM(AF73:AF79)</f>
        <v>0</v>
      </c>
      <c r="AG80" s="280">
        <f>SUM(AG71:AG79)</f>
        <v>0</v>
      </c>
      <c r="AH80" s="280">
        <f>SUM(AH71:AH79)</f>
        <v>352.61</v>
      </c>
      <c r="AI80" s="280">
        <f>SUM(AI71:AI79)</f>
        <v>18548.650000000001</v>
      </c>
      <c r="AJ80" s="171"/>
      <c r="AK80" s="255"/>
      <c r="AL80" s="108">
        <f>O80+AB80-AH80</f>
        <v>18548.650000000001</v>
      </c>
    </row>
    <row r="81" spans="2:38" ht="22.5" customHeight="1" x14ac:dyDescent="0.25">
      <c r="B81" s="426" t="s">
        <v>147</v>
      </c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6"/>
      <c r="X81" s="426"/>
      <c r="Y81" s="426"/>
      <c r="Z81" s="426"/>
      <c r="AA81" s="426"/>
      <c r="AB81" s="426"/>
      <c r="AC81" s="426"/>
      <c r="AD81" s="426"/>
      <c r="AE81" s="426"/>
      <c r="AF81" s="426"/>
      <c r="AG81" s="426"/>
      <c r="AH81" s="426"/>
      <c r="AI81" s="426"/>
      <c r="AJ81" s="426"/>
      <c r="AK81" s="255"/>
    </row>
    <row r="82" spans="2:38" s="103" customFormat="1" ht="22.5" customHeight="1" x14ac:dyDescent="0.25">
      <c r="B82" s="171">
        <v>54</v>
      </c>
      <c r="C82" s="161" t="s">
        <v>502</v>
      </c>
      <c r="D82" s="191" t="s">
        <v>113</v>
      </c>
      <c r="E82" s="176"/>
      <c r="F82" s="191">
        <v>15</v>
      </c>
      <c r="G82" s="204">
        <v>303</v>
      </c>
      <c r="H82" s="205">
        <f>F82*G82</f>
        <v>4545</v>
      </c>
      <c r="I82" s="206">
        <v>0</v>
      </c>
      <c r="J82" s="206">
        <v>0</v>
      </c>
      <c r="K82" s="206">
        <v>0</v>
      </c>
      <c r="L82" s="206">
        <v>0</v>
      </c>
      <c r="M82" s="206">
        <v>0</v>
      </c>
      <c r="N82" s="206">
        <v>0</v>
      </c>
      <c r="O82" s="205">
        <f>SUM(H82:N82)</f>
        <v>4545</v>
      </c>
      <c r="P82" s="207"/>
      <c r="Q82" s="205">
        <f>IF(G82=47.16,0,IF(G82&gt;47.16,L82*0.5,0))</f>
        <v>0</v>
      </c>
      <c r="R82" s="205">
        <f>H82+I82+J82+M82+Q82+K82</f>
        <v>4545</v>
      </c>
      <c r="S82" s="205">
        <f>VLOOKUP(R82,TARIFA1,1)</f>
        <v>2699.41</v>
      </c>
      <c r="T82" s="205">
        <f>R82-S82</f>
        <v>1845.5900000000001</v>
      </c>
      <c r="U82" s="208">
        <f>VLOOKUP(R82,TARIFA1,3)</f>
        <v>0.10879999999999999</v>
      </c>
      <c r="V82" s="205">
        <f>T82*U82</f>
        <v>200.80019200000001</v>
      </c>
      <c r="W82" s="205">
        <f>VLOOKUP(R82,TARIFA1,2)</f>
        <v>158.55000000000001</v>
      </c>
      <c r="X82" s="205">
        <f>V82+W82</f>
        <v>359.35019199999999</v>
      </c>
      <c r="Y82" s="205">
        <f>VLOOKUP(R82,Credito1,2)</f>
        <v>0</v>
      </c>
      <c r="Z82" s="205">
        <f>ROUND(X82-Y82,2)</f>
        <v>359.35</v>
      </c>
      <c r="AA82" s="209"/>
      <c r="AB82" s="205">
        <f>-IF(Z82&gt;0,0,Z82)</f>
        <v>0</v>
      </c>
      <c r="AC82" s="205">
        <f>IF(Z82&lt;0,0,Z82)</f>
        <v>359.35</v>
      </c>
      <c r="AD82" s="205">
        <v>0</v>
      </c>
      <c r="AE82" s="205">
        <v>0</v>
      </c>
      <c r="AF82" s="205">
        <v>0</v>
      </c>
      <c r="AG82" s="281">
        <v>0</v>
      </c>
      <c r="AH82" s="205">
        <f>SUM(AC82:AG82)</f>
        <v>359.35</v>
      </c>
      <c r="AI82" s="205">
        <f>O82+AB82-AH82</f>
        <v>4185.6499999999996</v>
      </c>
      <c r="AJ82" s="205"/>
      <c r="AK82" s="255"/>
    </row>
    <row r="83" spans="2:38" s="134" customFormat="1" ht="20.25" customHeight="1" x14ac:dyDescent="0.3">
      <c r="B83" s="171">
        <v>55</v>
      </c>
      <c r="C83" s="160" t="s">
        <v>461</v>
      </c>
      <c r="D83" s="191" t="s">
        <v>119</v>
      </c>
      <c r="E83" s="176"/>
      <c r="F83" s="191">
        <v>15</v>
      </c>
      <c r="G83" s="171">
        <v>146.66999999999999</v>
      </c>
      <c r="H83" s="205">
        <f>F83*G83</f>
        <v>2200.0499999999997</v>
      </c>
      <c r="I83" s="206">
        <v>0</v>
      </c>
      <c r="J83" s="206">
        <v>0</v>
      </c>
      <c r="K83" s="206">
        <v>0</v>
      </c>
      <c r="L83" s="206">
        <v>0</v>
      </c>
      <c r="M83" s="206">
        <v>0</v>
      </c>
      <c r="N83" s="206">
        <v>0</v>
      </c>
      <c r="O83" s="205">
        <f>SUM(H83:N83)</f>
        <v>2200.0499999999997</v>
      </c>
      <c r="P83" s="171"/>
      <c r="Q83" s="205">
        <f>IF(G83=47.16,0,IF(G83&gt;47.16,L83*0.5,0))</f>
        <v>0</v>
      </c>
      <c r="R83" s="205">
        <f>H83+I83+J83+M83+Q83+K83</f>
        <v>2200.0499999999997</v>
      </c>
      <c r="S83" s="205">
        <f>VLOOKUP(R83,TARIFA1,1)</f>
        <v>318.01</v>
      </c>
      <c r="T83" s="205">
        <f>R83-S83</f>
        <v>1882.0399999999997</v>
      </c>
      <c r="U83" s="208">
        <f>VLOOKUP(R83,TARIFA1,3)</f>
        <v>6.4000000000000001E-2</v>
      </c>
      <c r="V83" s="205">
        <f>T83*U83</f>
        <v>120.45055999999998</v>
      </c>
      <c r="W83" s="205">
        <f>VLOOKUP(R83,TARIFA1,2)</f>
        <v>6.15</v>
      </c>
      <c r="X83" s="205">
        <f>V83+W83</f>
        <v>126.60055999999999</v>
      </c>
      <c r="Y83" s="205">
        <f>VLOOKUP(R83,Credito1,2)</f>
        <v>174.75</v>
      </c>
      <c r="Z83" s="205">
        <f>ROUND(X83-Y83,2)</f>
        <v>-48.15</v>
      </c>
      <c r="AA83" s="171"/>
      <c r="AB83" s="205">
        <f>-IF(Z83&gt;0,0,Z83)</f>
        <v>48.15</v>
      </c>
      <c r="AC83" s="205">
        <f>IF(Z83&lt;0,0,Z83)</f>
        <v>0</v>
      </c>
      <c r="AD83" s="205">
        <v>0</v>
      </c>
      <c r="AE83" s="205">
        <v>0</v>
      </c>
      <c r="AF83" s="205">
        <v>0</v>
      </c>
      <c r="AG83" s="281">
        <v>0</v>
      </c>
      <c r="AH83" s="205">
        <f>SUM(AC83:AG83)</f>
        <v>0</v>
      </c>
      <c r="AI83" s="205">
        <f>O83+AB83-AH83</f>
        <v>2248.1999999999998</v>
      </c>
      <c r="AJ83" s="171"/>
      <c r="AK83" s="255"/>
    </row>
    <row r="84" spans="2:38" ht="22.5" customHeight="1" x14ac:dyDescent="0.25">
      <c r="B84" s="171"/>
      <c r="C84" s="161"/>
      <c r="D84" s="275" t="s">
        <v>111</v>
      </c>
      <c r="E84" s="443"/>
      <c r="F84" s="444"/>
      <c r="G84" s="445"/>
      <c r="H84" s="280">
        <f>SUM(H82:H83)</f>
        <v>6745.0499999999993</v>
      </c>
      <c r="I84" s="280">
        <f t="shared" ref="I84:N84" si="87">SUM(I82:I82)</f>
        <v>0</v>
      </c>
      <c r="J84" s="205">
        <f t="shared" si="87"/>
        <v>0</v>
      </c>
      <c r="K84" s="280">
        <f t="shared" si="87"/>
        <v>0</v>
      </c>
      <c r="L84" s="205">
        <f t="shared" si="87"/>
        <v>0</v>
      </c>
      <c r="M84" s="280">
        <f t="shared" si="87"/>
        <v>0</v>
      </c>
      <c r="N84" s="205">
        <f t="shared" si="87"/>
        <v>0</v>
      </c>
      <c r="O84" s="280">
        <f>SUM(O82:O83)</f>
        <v>6745.0499999999993</v>
      </c>
      <c r="P84" s="280">
        <f t="shared" ref="P84:AA84" si="88">SUM(P82:P82)</f>
        <v>0</v>
      </c>
      <c r="Q84" s="205">
        <f t="shared" si="88"/>
        <v>0</v>
      </c>
      <c r="R84" s="280">
        <f t="shared" si="88"/>
        <v>4545</v>
      </c>
      <c r="S84" s="280">
        <f t="shared" si="88"/>
        <v>2699.41</v>
      </c>
      <c r="T84" s="280">
        <f t="shared" si="88"/>
        <v>1845.5900000000001</v>
      </c>
      <c r="U84" s="280">
        <f t="shared" si="88"/>
        <v>0.10879999999999999</v>
      </c>
      <c r="V84" s="280">
        <f t="shared" si="88"/>
        <v>200.80019200000001</v>
      </c>
      <c r="W84" s="280">
        <f t="shared" si="88"/>
        <v>158.55000000000001</v>
      </c>
      <c r="X84" s="280">
        <f t="shared" si="88"/>
        <v>359.35019199999999</v>
      </c>
      <c r="Y84" s="280">
        <f t="shared" si="88"/>
        <v>0</v>
      </c>
      <c r="Z84" s="280">
        <f t="shared" si="88"/>
        <v>359.35</v>
      </c>
      <c r="AA84" s="280">
        <f t="shared" si="88"/>
        <v>0</v>
      </c>
      <c r="AB84" s="280">
        <f>SUM(AB82:AB83)</f>
        <v>48.15</v>
      </c>
      <c r="AC84" s="280">
        <f>SUM(AC82:AC83)</f>
        <v>359.35</v>
      </c>
      <c r="AD84" s="280">
        <f>SUM(AD82:AD82)</f>
        <v>0</v>
      </c>
      <c r="AE84" s="280">
        <f>SUM(AE82:AE82)</f>
        <v>0</v>
      </c>
      <c r="AF84" s="280">
        <f>SUM(AF82:AF82)</f>
        <v>0</v>
      </c>
      <c r="AG84" s="280">
        <f>SUM(AG82:AG83)</f>
        <v>0</v>
      </c>
      <c r="AH84" s="280">
        <f>SUM(AH82:AH83)</f>
        <v>359.35</v>
      </c>
      <c r="AI84" s="280">
        <f>SUM(AI82:AI83)</f>
        <v>6433.8499999999995</v>
      </c>
      <c r="AJ84" s="171"/>
      <c r="AK84" s="255"/>
      <c r="AL84" s="108">
        <f>O84+AB84-AH84</f>
        <v>6433.8499999999985</v>
      </c>
    </row>
    <row r="85" spans="2:38" ht="21.75" customHeight="1" x14ac:dyDescent="0.25">
      <c r="B85" s="426" t="s">
        <v>129</v>
      </c>
      <c r="C85" s="426"/>
      <c r="D85" s="426"/>
      <c r="E85" s="426"/>
      <c r="F85" s="426"/>
      <c r="G85" s="426"/>
      <c r="H85" s="426"/>
      <c r="I85" s="426"/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426"/>
      <c r="V85" s="426"/>
      <c r="W85" s="426"/>
      <c r="X85" s="426"/>
      <c r="Y85" s="426"/>
      <c r="Z85" s="426"/>
      <c r="AA85" s="426"/>
      <c r="AB85" s="426"/>
      <c r="AC85" s="426"/>
      <c r="AD85" s="426"/>
      <c r="AE85" s="426"/>
      <c r="AF85" s="426"/>
      <c r="AG85" s="426"/>
      <c r="AH85" s="426"/>
      <c r="AI85" s="426"/>
      <c r="AJ85" s="426"/>
      <c r="AK85" s="255"/>
    </row>
    <row r="86" spans="2:38" ht="21.75" customHeight="1" x14ac:dyDescent="0.25">
      <c r="B86" s="171">
        <v>56</v>
      </c>
      <c r="C86" s="160" t="s">
        <v>493</v>
      </c>
      <c r="D86" s="191" t="s">
        <v>121</v>
      </c>
      <c r="E86" s="176"/>
      <c r="F86" s="191">
        <v>15</v>
      </c>
      <c r="G86" s="204">
        <v>100</v>
      </c>
      <c r="H86" s="205">
        <f t="shared" ref="H86:H91" si="89">F86*G86</f>
        <v>1500</v>
      </c>
      <c r="I86" s="280">
        <v>0</v>
      </c>
      <c r="J86" s="205">
        <v>0</v>
      </c>
      <c r="K86" s="205">
        <v>0</v>
      </c>
      <c r="L86" s="205">
        <v>0</v>
      </c>
      <c r="M86" s="280">
        <v>0</v>
      </c>
      <c r="N86" s="205">
        <v>0</v>
      </c>
      <c r="O86" s="205">
        <f t="shared" ref="O86:O89" si="90">SUM(H86:N86)</f>
        <v>1500</v>
      </c>
      <c r="P86" s="280"/>
      <c r="Q86" s="205">
        <v>0</v>
      </c>
      <c r="R86" s="205">
        <f t="shared" ref="R86:R89" si="91">H86+I86+J86+M86+Q86+K86</f>
        <v>1500</v>
      </c>
      <c r="S86" s="205">
        <f t="shared" ref="S86:S91" si="92">VLOOKUP(R86,TARIFA1,1)</f>
        <v>318.01</v>
      </c>
      <c r="T86" s="205">
        <f t="shared" ref="T86:T89" si="93">R86-S86</f>
        <v>1181.99</v>
      </c>
      <c r="U86" s="208">
        <f t="shared" ref="U86:U91" si="94">VLOOKUP(R86,TARIFA1,3)</f>
        <v>6.4000000000000001E-2</v>
      </c>
      <c r="V86" s="205">
        <f t="shared" ref="V86:V89" si="95">T86*U86</f>
        <v>75.647360000000006</v>
      </c>
      <c r="W86" s="205">
        <f t="shared" ref="W86:W91" si="96">VLOOKUP(R86,TARIFA1,2)</f>
        <v>6.15</v>
      </c>
      <c r="X86" s="205">
        <f t="shared" ref="X86:X89" si="97">V86+W86</f>
        <v>81.797360000000012</v>
      </c>
      <c r="Y86" s="205">
        <f t="shared" ref="Y86:Y91" si="98">VLOOKUP(R86,Credito1,2)</f>
        <v>200.7</v>
      </c>
      <c r="Z86" s="205">
        <f t="shared" ref="Z86:Z89" si="99">ROUND(X86-Y86,2)</f>
        <v>-118.9</v>
      </c>
      <c r="AA86" s="280"/>
      <c r="AB86" s="205">
        <f t="shared" ref="AB86:AB89" si="100">-IF(Z86&gt;0,0,Z86)</f>
        <v>118.9</v>
      </c>
      <c r="AC86" s="205">
        <f>IF(Z86&lt;0,0,Z86)</f>
        <v>0</v>
      </c>
      <c r="AD86" s="205">
        <v>0</v>
      </c>
      <c r="AE86" s="205">
        <v>0</v>
      </c>
      <c r="AF86" s="205">
        <v>0</v>
      </c>
      <c r="AG86" s="281">
        <v>0</v>
      </c>
      <c r="AH86" s="205">
        <f t="shared" ref="AH86:AH89" si="101">SUM(AC86:AG86)</f>
        <v>0</v>
      </c>
      <c r="AI86" s="205">
        <f>O86+AB86-AH86</f>
        <v>1618.9</v>
      </c>
      <c r="AJ86" s="205"/>
      <c r="AK86" s="255"/>
    </row>
    <row r="87" spans="2:38" ht="21.75" customHeight="1" x14ac:dyDescent="0.25">
      <c r="B87" s="171">
        <v>57</v>
      </c>
      <c r="C87" s="160" t="s">
        <v>339</v>
      </c>
      <c r="D87" s="191" t="s">
        <v>159</v>
      </c>
      <c r="E87" s="176"/>
      <c r="F87" s="191">
        <v>15</v>
      </c>
      <c r="G87" s="204">
        <v>143.87</v>
      </c>
      <c r="H87" s="205">
        <f t="shared" si="89"/>
        <v>2158.0500000000002</v>
      </c>
      <c r="I87" s="280">
        <v>0</v>
      </c>
      <c r="J87" s="205">
        <v>0</v>
      </c>
      <c r="K87" s="205">
        <v>0</v>
      </c>
      <c r="L87" s="205">
        <v>0</v>
      </c>
      <c r="M87" s="280">
        <v>0</v>
      </c>
      <c r="N87" s="205">
        <v>0</v>
      </c>
      <c r="O87" s="205">
        <f t="shared" si="90"/>
        <v>2158.0500000000002</v>
      </c>
      <c r="P87" s="280"/>
      <c r="Q87" s="205">
        <v>0</v>
      </c>
      <c r="R87" s="205">
        <f t="shared" si="91"/>
        <v>2158.0500000000002</v>
      </c>
      <c r="S87" s="205">
        <f t="shared" si="92"/>
        <v>318.01</v>
      </c>
      <c r="T87" s="205">
        <f t="shared" si="93"/>
        <v>1840.0400000000002</v>
      </c>
      <c r="U87" s="208">
        <f t="shared" si="94"/>
        <v>6.4000000000000001E-2</v>
      </c>
      <c r="V87" s="205">
        <f t="shared" si="95"/>
        <v>117.76256000000001</v>
      </c>
      <c r="W87" s="205">
        <f t="shared" si="96"/>
        <v>6.15</v>
      </c>
      <c r="X87" s="205">
        <f t="shared" si="97"/>
        <v>123.91256000000001</v>
      </c>
      <c r="Y87" s="205">
        <f t="shared" si="98"/>
        <v>188.7</v>
      </c>
      <c r="Z87" s="205">
        <f t="shared" si="99"/>
        <v>-64.790000000000006</v>
      </c>
      <c r="AA87" s="280"/>
      <c r="AB87" s="205">
        <f t="shared" si="100"/>
        <v>64.790000000000006</v>
      </c>
      <c r="AC87" s="205">
        <f t="shared" ref="AC87:AC89" si="102">IF(Z87&lt;0,0,Z87)</f>
        <v>0</v>
      </c>
      <c r="AD87" s="205">
        <v>0</v>
      </c>
      <c r="AE87" s="205">
        <v>0</v>
      </c>
      <c r="AF87" s="205">
        <v>0</v>
      </c>
      <c r="AG87" s="281">
        <v>0</v>
      </c>
      <c r="AH87" s="205">
        <f t="shared" si="101"/>
        <v>0</v>
      </c>
      <c r="AI87" s="205">
        <f t="shared" ref="AI87:AI91" si="103">O87+AB87-AH87</f>
        <v>2222.84</v>
      </c>
      <c r="AJ87" s="205"/>
      <c r="AK87" s="255"/>
    </row>
    <row r="88" spans="2:38" ht="21.75" customHeight="1" x14ac:dyDescent="0.25">
      <c r="B88" s="171">
        <v>58</v>
      </c>
      <c r="C88" s="160" t="s">
        <v>344</v>
      </c>
      <c r="D88" s="191" t="s">
        <v>148</v>
      </c>
      <c r="E88" s="176"/>
      <c r="F88" s="191">
        <v>15</v>
      </c>
      <c r="G88" s="204">
        <v>113.33</v>
      </c>
      <c r="H88" s="205">
        <f t="shared" si="89"/>
        <v>1699.95</v>
      </c>
      <c r="I88" s="280">
        <v>0</v>
      </c>
      <c r="J88" s="205">
        <v>0</v>
      </c>
      <c r="K88" s="205">
        <v>0</v>
      </c>
      <c r="L88" s="205">
        <v>0</v>
      </c>
      <c r="M88" s="280">
        <v>0</v>
      </c>
      <c r="N88" s="205">
        <v>0</v>
      </c>
      <c r="O88" s="205">
        <f t="shared" si="90"/>
        <v>1699.95</v>
      </c>
      <c r="P88" s="280"/>
      <c r="Q88" s="205">
        <v>0</v>
      </c>
      <c r="R88" s="205">
        <f t="shared" si="91"/>
        <v>1699.95</v>
      </c>
      <c r="S88" s="205">
        <f t="shared" si="92"/>
        <v>318.01</v>
      </c>
      <c r="T88" s="205">
        <f t="shared" si="93"/>
        <v>1381.94</v>
      </c>
      <c r="U88" s="208">
        <f t="shared" si="94"/>
        <v>6.4000000000000001E-2</v>
      </c>
      <c r="V88" s="205">
        <f t="shared" si="95"/>
        <v>88.444160000000011</v>
      </c>
      <c r="W88" s="205">
        <f t="shared" si="96"/>
        <v>6.15</v>
      </c>
      <c r="X88" s="205">
        <f t="shared" si="97"/>
        <v>94.594160000000016</v>
      </c>
      <c r="Y88" s="205">
        <f t="shared" si="98"/>
        <v>200.7</v>
      </c>
      <c r="Z88" s="205">
        <f t="shared" si="99"/>
        <v>-106.11</v>
      </c>
      <c r="AA88" s="280"/>
      <c r="AB88" s="205">
        <f t="shared" si="100"/>
        <v>106.11</v>
      </c>
      <c r="AC88" s="205">
        <f t="shared" si="102"/>
        <v>0</v>
      </c>
      <c r="AD88" s="205">
        <v>0</v>
      </c>
      <c r="AE88" s="205">
        <v>0</v>
      </c>
      <c r="AF88" s="205">
        <v>0</v>
      </c>
      <c r="AG88" s="281">
        <v>0</v>
      </c>
      <c r="AH88" s="205">
        <f t="shared" si="101"/>
        <v>0</v>
      </c>
      <c r="AI88" s="205">
        <f t="shared" si="103"/>
        <v>1806.06</v>
      </c>
      <c r="AJ88" s="205"/>
      <c r="AK88" s="255"/>
    </row>
    <row r="89" spans="2:38" ht="21.75" customHeight="1" x14ac:dyDescent="0.25">
      <c r="B89" s="171">
        <v>59</v>
      </c>
      <c r="C89" s="160" t="s">
        <v>525</v>
      </c>
      <c r="D89" s="191" t="s">
        <v>148</v>
      </c>
      <c r="E89" s="176"/>
      <c r="F89" s="191">
        <v>15</v>
      </c>
      <c r="G89" s="204">
        <v>113.33</v>
      </c>
      <c r="H89" s="205">
        <f t="shared" si="89"/>
        <v>1699.95</v>
      </c>
      <c r="I89" s="280">
        <v>0</v>
      </c>
      <c r="J89" s="205">
        <v>0</v>
      </c>
      <c r="K89" s="205">
        <v>0</v>
      </c>
      <c r="L89" s="205">
        <v>0</v>
      </c>
      <c r="M89" s="280">
        <v>0</v>
      </c>
      <c r="N89" s="205">
        <v>0</v>
      </c>
      <c r="O89" s="205">
        <f t="shared" si="90"/>
        <v>1699.95</v>
      </c>
      <c r="P89" s="280"/>
      <c r="Q89" s="205">
        <v>0</v>
      </c>
      <c r="R89" s="205">
        <f t="shared" si="91"/>
        <v>1699.95</v>
      </c>
      <c r="S89" s="205">
        <f t="shared" si="92"/>
        <v>318.01</v>
      </c>
      <c r="T89" s="205">
        <f t="shared" si="93"/>
        <v>1381.94</v>
      </c>
      <c r="U89" s="208">
        <f t="shared" si="94"/>
        <v>6.4000000000000001E-2</v>
      </c>
      <c r="V89" s="205">
        <f t="shared" si="95"/>
        <v>88.444160000000011</v>
      </c>
      <c r="W89" s="205">
        <f t="shared" si="96"/>
        <v>6.15</v>
      </c>
      <c r="X89" s="205">
        <f t="shared" si="97"/>
        <v>94.594160000000016</v>
      </c>
      <c r="Y89" s="205">
        <f t="shared" si="98"/>
        <v>200.7</v>
      </c>
      <c r="Z89" s="205">
        <f t="shared" si="99"/>
        <v>-106.11</v>
      </c>
      <c r="AA89" s="280"/>
      <c r="AB89" s="205">
        <f t="shared" si="100"/>
        <v>106.11</v>
      </c>
      <c r="AC89" s="205">
        <f t="shared" si="102"/>
        <v>0</v>
      </c>
      <c r="AD89" s="205">
        <v>0</v>
      </c>
      <c r="AE89" s="205">
        <v>0</v>
      </c>
      <c r="AF89" s="205">
        <v>0</v>
      </c>
      <c r="AG89" s="281">
        <v>0</v>
      </c>
      <c r="AH89" s="205">
        <f t="shared" si="101"/>
        <v>0</v>
      </c>
      <c r="AI89" s="205">
        <f t="shared" si="103"/>
        <v>1806.06</v>
      </c>
      <c r="AJ89" s="205"/>
      <c r="AK89" s="255"/>
    </row>
    <row r="90" spans="2:38" ht="21.75" customHeight="1" x14ac:dyDescent="0.25">
      <c r="B90" s="171">
        <v>60</v>
      </c>
      <c r="C90" s="161" t="s">
        <v>423</v>
      </c>
      <c r="D90" s="191" t="s">
        <v>222</v>
      </c>
      <c r="E90" s="176"/>
      <c r="F90" s="191">
        <v>15</v>
      </c>
      <c r="G90" s="204">
        <v>94.87</v>
      </c>
      <c r="H90" s="205">
        <f t="shared" si="89"/>
        <v>1423.0500000000002</v>
      </c>
      <c r="I90" s="206">
        <v>0</v>
      </c>
      <c r="J90" s="205">
        <v>0</v>
      </c>
      <c r="K90" s="205">
        <v>0</v>
      </c>
      <c r="L90" s="206">
        <v>0</v>
      </c>
      <c r="M90" s="280">
        <v>0</v>
      </c>
      <c r="N90" s="205">
        <v>0</v>
      </c>
      <c r="O90" s="205">
        <f>SUM(H90:N90)</f>
        <v>1423.0500000000002</v>
      </c>
      <c r="P90" s="207"/>
      <c r="Q90" s="205">
        <v>0</v>
      </c>
      <c r="R90" s="205">
        <f>H90+I90+J90+M90+Q90+K90</f>
        <v>1423.0500000000002</v>
      </c>
      <c r="S90" s="205">
        <f t="shared" si="92"/>
        <v>318.01</v>
      </c>
      <c r="T90" s="205">
        <f>R90-S90</f>
        <v>1105.0400000000002</v>
      </c>
      <c r="U90" s="208">
        <f t="shared" si="94"/>
        <v>6.4000000000000001E-2</v>
      </c>
      <c r="V90" s="205">
        <f>T90*U90</f>
        <v>70.722560000000016</v>
      </c>
      <c r="W90" s="205">
        <f t="shared" si="96"/>
        <v>6.15</v>
      </c>
      <c r="X90" s="205">
        <f>V90+W90</f>
        <v>76.872560000000021</v>
      </c>
      <c r="Y90" s="205">
        <f t="shared" si="98"/>
        <v>200.7</v>
      </c>
      <c r="Z90" s="205">
        <f>ROUND(X90-Y90,2)</f>
        <v>-123.83</v>
      </c>
      <c r="AA90" s="209"/>
      <c r="AB90" s="205">
        <f>-IF(Z90&gt;0,0,Z90)</f>
        <v>123.83</v>
      </c>
      <c r="AC90" s="205">
        <f>IF(Z90&lt;0,0,Z90)</f>
        <v>0</v>
      </c>
      <c r="AD90" s="205">
        <v>0</v>
      </c>
      <c r="AE90" s="205">
        <v>0</v>
      </c>
      <c r="AF90" s="205">
        <v>0</v>
      </c>
      <c r="AG90" s="281">
        <v>0</v>
      </c>
      <c r="AH90" s="205">
        <f>SUM(AC90:AG90)</f>
        <v>0</v>
      </c>
      <c r="AI90" s="205">
        <f t="shared" si="103"/>
        <v>1546.88</v>
      </c>
      <c r="AJ90" s="205"/>
      <c r="AK90" s="255"/>
    </row>
    <row r="91" spans="2:38" ht="21.75" customHeight="1" x14ac:dyDescent="0.25">
      <c r="B91" s="171">
        <v>63</v>
      </c>
      <c r="C91" s="161" t="s">
        <v>340</v>
      </c>
      <c r="D91" s="191" t="s">
        <v>250</v>
      </c>
      <c r="E91" s="191"/>
      <c r="F91" s="191">
        <v>15</v>
      </c>
      <c r="G91" s="204">
        <v>86.67</v>
      </c>
      <c r="H91" s="205">
        <f t="shared" si="89"/>
        <v>1300.05</v>
      </c>
      <c r="I91" s="206">
        <v>0</v>
      </c>
      <c r="J91" s="205">
        <v>0</v>
      </c>
      <c r="K91" s="205">
        <v>0</v>
      </c>
      <c r="L91" s="206">
        <v>0</v>
      </c>
      <c r="M91" s="280">
        <v>0</v>
      </c>
      <c r="N91" s="205">
        <v>0</v>
      </c>
      <c r="O91" s="205">
        <f t="shared" ref="O91" si="104">SUM(H91:N91)</f>
        <v>1300.05</v>
      </c>
      <c r="P91" s="207"/>
      <c r="Q91" s="205">
        <v>0</v>
      </c>
      <c r="R91" s="205">
        <f t="shared" ref="R91" si="105">H91+I91+J91+M91+Q91+K91</f>
        <v>1300.05</v>
      </c>
      <c r="S91" s="205">
        <f t="shared" si="92"/>
        <v>318.01</v>
      </c>
      <c r="T91" s="205">
        <f t="shared" ref="T91" si="106">R91-S91</f>
        <v>982.04</v>
      </c>
      <c r="U91" s="208">
        <f t="shared" si="94"/>
        <v>6.4000000000000001E-2</v>
      </c>
      <c r="V91" s="205">
        <f t="shared" ref="V91" si="107">T91*U91</f>
        <v>62.850560000000002</v>
      </c>
      <c r="W91" s="205">
        <f t="shared" si="96"/>
        <v>6.15</v>
      </c>
      <c r="X91" s="205">
        <f t="shared" ref="X91" si="108">V91+W91</f>
        <v>69.000560000000007</v>
      </c>
      <c r="Y91" s="205">
        <f t="shared" si="98"/>
        <v>200.7</v>
      </c>
      <c r="Z91" s="205">
        <f t="shared" ref="Z91" si="109">ROUND(X91-Y91,2)</f>
        <v>-131.69999999999999</v>
      </c>
      <c r="AA91" s="209"/>
      <c r="AB91" s="205">
        <f t="shared" ref="AB91" si="110">-IF(Z91&gt;0,0,Z91)</f>
        <v>131.69999999999999</v>
      </c>
      <c r="AC91" s="205">
        <f t="shared" ref="AC91" si="111">IF(Z91&lt;0,0,Z91)</f>
        <v>0</v>
      </c>
      <c r="AD91" s="205">
        <v>0</v>
      </c>
      <c r="AE91" s="205">
        <v>0</v>
      </c>
      <c r="AF91" s="205">
        <v>0</v>
      </c>
      <c r="AG91" s="281">
        <v>0</v>
      </c>
      <c r="AH91" s="205">
        <f t="shared" ref="AH91" si="112">SUM(AC91:AG91)</f>
        <v>0</v>
      </c>
      <c r="AI91" s="205">
        <f t="shared" si="103"/>
        <v>1431.75</v>
      </c>
      <c r="AJ91" s="205"/>
      <c r="AK91" s="255"/>
    </row>
    <row r="92" spans="2:38" ht="21.75" customHeight="1" x14ac:dyDescent="0.25">
      <c r="B92" s="171"/>
      <c r="C92" s="161"/>
      <c r="D92" s="275" t="s">
        <v>111</v>
      </c>
      <c r="E92" s="443"/>
      <c r="F92" s="444"/>
      <c r="G92" s="445"/>
      <c r="H92" s="280">
        <f>SUM(H86:H91)</f>
        <v>9781.0499999999993</v>
      </c>
      <c r="I92" s="280">
        <f t="shared" ref="I92:N92" si="113">SUM(I90:I90)</f>
        <v>0</v>
      </c>
      <c r="J92" s="205">
        <f t="shared" si="113"/>
        <v>0</v>
      </c>
      <c r="K92" s="280">
        <f t="shared" si="113"/>
        <v>0</v>
      </c>
      <c r="L92" s="205">
        <f t="shared" si="113"/>
        <v>0</v>
      </c>
      <c r="M92" s="280">
        <f t="shared" si="113"/>
        <v>0</v>
      </c>
      <c r="N92" s="205">
        <f t="shared" si="113"/>
        <v>0</v>
      </c>
      <c r="O92" s="280">
        <f>SUM(O86:O91)</f>
        <v>9781.0499999999993</v>
      </c>
      <c r="P92" s="280">
        <f t="shared" ref="P92:Z92" si="114">SUM(P90:P90)</f>
        <v>0</v>
      </c>
      <c r="Q92" s="205">
        <f t="shared" si="114"/>
        <v>0</v>
      </c>
      <c r="R92" s="280">
        <f t="shared" si="114"/>
        <v>1423.0500000000002</v>
      </c>
      <c r="S92" s="280">
        <f t="shared" si="114"/>
        <v>318.01</v>
      </c>
      <c r="T92" s="280">
        <f t="shared" si="114"/>
        <v>1105.0400000000002</v>
      </c>
      <c r="U92" s="280">
        <f t="shared" si="114"/>
        <v>6.4000000000000001E-2</v>
      </c>
      <c r="V92" s="280">
        <f t="shared" si="114"/>
        <v>70.722560000000016</v>
      </c>
      <c r="W92" s="280">
        <f t="shared" si="114"/>
        <v>6.15</v>
      </c>
      <c r="X92" s="280">
        <f t="shared" si="114"/>
        <v>76.872560000000021</v>
      </c>
      <c r="Y92" s="280">
        <f t="shared" si="114"/>
        <v>200.7</v>
      </c>
      <c r="Z92" s="280">
        <f t="shared" si="114"/>
        <v>-123.83</v>
      </c>
      <c r="AA92" s="280"/>
      <c r="AB92" s="280">
        <f>SUM(AB86:AB91)</f>
        <v>651.44000000000005</v>
      </c>
      <c r="AC92" s="280">
        <f>SUM(AC86:AC91)</f>
        <v>0</v>
      </c>
      <c r="AD92" s="280">
        <f>SUM(AD90:AD90)</f>
        <v>0</v>
      </c>
      <c r="AE92" s="280">
        <f>SUM(AE90:AE90)</f>
        <v>0</v>
      </c>
      <c r="AF92" s="280">
        <f>SUM(AF90:AF90)</f>
        <v>0</v>
      </c>
      <c r="AG92" s="280">
        <f>SUM(AG86:AG91)</f>
        <v>0</v>
      </c>
      <c r="AH92" s="280">
        <f>SUM(AH86:AH91)</f>
        <v>0</v>
      </c>
      <c r="AI92" s="280">
        <f>SUM(AI86:AI91)</f>
        <v>10432.490000000002</v>
      </c>
      <c r="AJ92" s="171"/>
      <c r="AK92" s="255"/>
      <c r="AL92" s="108">
        <f>O92+AB92-AH92</f>
        <v>10432.49</v>
      </c>
    </row>
    <row r="93" spans="2:38" ht="21.75" customHeight="1" x14ac:dyDescent="0.25">
      <c r="B93" s="426" t="s">
        <v>131</v>
      </c>
      <c r="C93" s="426"/>
      <c r="D93" s="426"/>
      <c r="E93" s="426"/>
      <c r="F93" s="426"/>
      <c r="G93" s="426"/>
      <c r="H93" s="426"/>
      <c r="I93" s="426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6"/>
      <c r="AC93" s="426"/>
      <c r="AD93" s="426"/>
      <c r="AE93" s="426"/>
      <c r="AF93" s="426"/>
      <c r="AG93" s="426"/>
      <c r="AH93" s="426"/>
      <c r="AI93" s="426"/>
      <c r="AJ93" s="426"/>
      <c r="AK93" s="255"/>
    </row>
    <row r="94" spans="2:38" s="125" customFormat="1" ht="24.75" customHeight="1" x14ac:dyDescent="0.25">
      <c r="B94" s="171">
        <v>64</v>
      </c>
      <c r="C94" s="160" t="s">
        <v>407</v>
      </c>
      <c r="D94" s="191" t="s">
        <v>214</v>
      </c>
      <c r="E94" s="176"/>
      <c r="F94" s="191">
        <v>15</v>
      </c>
      <c r="G94" s="204">
        <v>106.67</v>
      </c>
      <c r="H94" s="205">
        <f t="shared" ref="H94:H108" si="115">F94*G94</f>
        <v>1600.05</v>
      </c>
      <c r="I94" s="280">
        <v>0</v>
      </c>
      <c r="J94" s="205">
        <v>0</v>
      </c>
      <c r="K94" s="280">
        <v>0</v>
      </c>
      <c r="L94" s="205">
        <v>0</v>
      </c>
      <c r="M94" s="280">
        <v>0</v>
      </c>
      <c r="N94" s="205">
        <v>0</v>
      </c>
      <c r="O94" s="205">
        <f>SUM(H94:N94)</f>
        <v>1600.05</v>
      </c>
      <c r="P94" s="280"/>
      <c r="Q94" s="205">
        <v>0</v>
      </c>
      <c r="R94" s="205">
        <f>H94+I94+J94+M94+Q94+K94</f>
        <v>1600.05</v>
      </c>
      <c r="S94" s="205">
        <f t="shared" ref="S94:S108" si="116">VLOOKUP(R94,TARIFA1,1)</f>
        <v>318.01</v>
      </c>
      <c r="T94" s="205">
        <f>R94-S94</f>
        <v>1282.04</v>
      </c>
      <c r="U94" s="208">
        <f t="shared" ref="U94:U108" si="117">VLOOKUP(R94,TARIFA1,3)</f>
        <v>6.4000000000000001E-2</v>
      </c>
      <c r="V94" s="205">
        <f>T94*U94</f>
        <v>82.050560000000004</v>
      </c>
      <c r="W94" s="205">
        <f t="shared" ref="W94:W108" si="118">VLOOKUP(R94,TARIFA1,2)</f>
        <v>6.15</v>
      </c>
      <c r="X94" s="205">
        <f>V94+W94</f>
        <v>88.20056000000001</v>
      </c>
      <c r="Y94" s="205">
        <f t="shared" ref="Y94:Y108" si="119">VLOOKUP(R94,Credito1,2)</f>
        <v>200.7</v>
      </c>
      <c r="Z94" s="205">
        <f>ROUND(X94-Y94,2)</f>
        <v>-112.5</v>
      </c>
      <c r="AA94" s="280"/>
      <c r="AB94" s="205">
        <f>-IF(Z94&gt;0,0,Z94)</f>
        <v>112.5</v>
      </c>
      <c r="AC94" s="205">
        <f>IF(Z94&lt;0,0,Z94)</f>
        <v>0</v>
      </c>
      <c r="AD94" s="205">
        <f t="shared" ref="AD94:AF94" si="120">IF(AA94&lt;0,0,AA94)</f>
        <v>0</v>
      </c>
      <c r="AE94" s="205">
        <v>0</v>
      </c>
      <c r="AF94" s="205">
        <f t="shared" si="120"/>
        <v>0</v>
      </c>
      <c r="AG94" s="281">
        <v>0</v>
      </c>
      <c r="AH94" s="205">
        <f>SUM(AC94:AG94)</f>
        <v>0</v>
      </c>
      <c r="AI94" s="205">
        <f>O94+AB94-AH94</f>
        <v>1712.55</v>
      </c>
      <c r="AJ94" s="205"/>
      <c r="AK94" s="292"/>
    </row>
    <row r="95" spans="2:38" ht="26.25" customHeight="1" x14ac:dyDescent="0.25">
      <c r="B95" s="171">
        <v>65</v>
      </c>
      <c r="C95" s="161" t="s">
        <v>393</v>
      </c>
      <c r="D95" s="191" t="s">
        <v>133</v>
      </c>
      <c r="E95" s="176"/>
      <c r="F95" s="191">
        <v>15</v>
      </c>
      <c r="G95" s="204">
        <v>82.73</v>
      </c>
      <c r="H95" s="205">
        <f t="shared" si="115"/>
        <v>1240.95</v>
      </c>
      <c r="I95" s="206">
        <v>0</v>
      </c>
      <c r="J95" s="206">
        <v>0</v>
      </c>
      <c r="K95" s="206">
        <v>0</v>
      </c>
      <c r="L95" s="205">
        <v>0</v>
      </c>
      <c r="M95" s="206">
        <v>0</v>
      </c>
      <c r="N95" s="205">
        <v>0</v>
      </c>
      <c r="O95" s="205">
        <f>SUM(H95:N95)</f>
        <v>1240.95</v>
      </c>
      <c r="P95" s="207"/>
      <c r="Q95" s="205">
        <v>0</v>
      </c>
      <c r="R95" s="205">
        <f>H95+I95+J95+M95+Q95+K95</f>
        <v>1240.95</v>
      </c>
      <c r="S95" s="205">
        <f t="shared" si="116"/>
        <v>318.01</v>
      </c>
      <c r="T95" s="205">
        <f>R95-S95</f>
        <v>922.94</v>
      </c>
      <c r="U95" s="208">
        <f t="shared" si="117"/>
        <v>6.4000000000000001E-2</v>
      </c>
      <c r="V95" s="205">
        <f>T95*U95</f>
        <v>59.068160000000006</v>
      </c>
      <c r="W95" s="205">
        <f t="shared" si="118"/>
        <v>6.15</v>
      </c>
      <c r="X95" s="205">
        <f>V95+W95</f>
        <v>65.218160000000012</v>
      </c>
      <c r="Y95" s="205">
        <f t="shared" si="119"/>
        <v>200.7</v>
      </c>
      <c r="Z95" s="205">
        <f>ROUND(X95-Y95,2)</f>
        <v>-135.47999999999999</v>
      </c>
      <c r="AA95" s="209"/>
      <c r="AB95" s="205">
        <f>-IF(Z95&gt;0,0,Z95)</f>
        <v>135.47999999999999</v>
      </c>
      <c r="AC95" s="205">
        <f>IF(Z95&lt;0,0,Z95)</f>
        <v>0</v>
      </c>
      <c r="AD95" s="205">
        <v>0</v>
      </c>
      <c r="AE95" s="205">
        <v>0</v>
      </c>
      <c r="AF95" s="205">
        <v>0</v>
      </c>
      <c r="AG95" s="281">
        <v>0</v>
      </c>
      <c r="AH95" s="205">
        <f>SUM(AC95:AG95)</f>
        <v>0</v>
      </c>
      <c r="AI95" s="205">
        <f t="shared" ref="AI95:AI108" si="121">O95+AB95-AH95</f>
        <v>1376.43</v>
      </c>
      <c r="AJ95" s="205"/>
      <c r="AK95" s="255"/>
    </row>
    <row r="96" spans="2:38" ht="26.25" customHeight="1" x14ac:dyDescent="0.25">
      <c r="B96" s="171">
        <v>66</v>
      </c>
      <c r="C96" s="161" t="s">
        <v>355</v>
      </c>
      <c r="D96" s="191" t="s">
        <v>237</v>
      </c>
      <c r="E96" s="176"/>
      <c r="F96" s="191">
        <v>15</v>
      </c>
      <c r="G96" s="204">
        <v>89.6</v>
      </c>
      <c r="H96" s="205">
        <f t="shared" si="115"/>
        <v>1344</v>
      </c>
      <c r="I96" s="206">
        <v>0</v>
      </c>
      <c r="J96" s="206">
        <v>0</v>
      </c>
      <c r="K96" s="206">
        <v>0</v>
      </c>
      <c r="L96" s="205">
        <v>0</v>
      </c>
      <c r="M96" s="206">
        <v>0</v>
      </c>
      <c r="N96" s="205">
        <v>0</v>
      </c>
      <c r="O96" s="205">
        <f t="shared" ref="O96:O108" si="122">SUM(H96:N96)</f>
        <v>1344</v>
      </c>
      <c r="P96" s="207"/>
      <c r="Q96" s="205">
        <v>0</v>
      </c>
      <c r="R96" s="205">
        <f t="shared" ref="R96:R108" si="123">H96+I96+J96+M96+Q96+K96</f>
        <v>1344</v>
      </c>
      <c r="S96" s="205">
        <f t="shared" si="116"/>
        <v>318.01</v>
      </c>
      <c r="T96" s="205">
        <f t="shared" ref="T96:T99" si="124">R96-S96</f>
        <v>1025.99</v>
      </c>
      <c r="U96" s="208">
        <f t="shared" si="117"/>
        <v>6.4000000000000001E-2</v>
      </c>
      <c r="V96" s="205">
        <f t="shared" ref="V96:V98" si="125">T96*U96</f>
        <v>65.663359999999997</v>
      </c>
      <c r="W96" s="205">
        <f t="shared" si="118"/>
        <v>6.15</v>
      </c>
      <c r="X96" s="205">
        <f t="shared" ref="X96:X98" si="126">V96+W96</f>
        <v>71.813360000000003</v>
      </c>
      <c r="Y96" s="205">
        <f t="shared" si="119"/>
        <v>200.7</v>
      </c>
      <c r="Z96" s="205">
        <f t="shared" ref="Z96:Z98" si="127">ROUND(X96-Y96,2)</f>
        <v>-128.88999999999999</v>
      </c>
      <c r="AA96" s="209"/>
      <c r="AB96" s="205">
        <f t="shared" ref="AB96:AB98" si="128">-IF(Z96&gt;0,0,Z96)</f>
        <v>128.88999999999999</v>
      </c>
      <c r="AC96" s="205">
        <f t="shared" ref="AC96:AC98" si="129">IF(Z96&lt;0,0,Z96)</f>
        <v>0</v>
      </c>
      <c r="AD96" s="205">
        <v>0</v>
      </c>
      <c r="AE96" s="205">
        <v>0</v>
      </c>
      <c r="AF96" s="205">
        <v>0</v>
      </c>
      <c r="AG96" s="281">
        <v>0</v>
      </c>
      <c r="AH96" s="205">
        <f t="shared" ref="AH96:AH108" si="130">SUM(AC96:AG96)</f>
        <v>0</v>
      </c>
      <c r="AI96" s="205">
        <f t="shared" si="121"/>
        <v>1472.8899999999999</v>
      </c>
      <c r="AJ96" s="205"/>
      <c r="AK96" s="255"/>
    </row>
    <row r="97" spans="2:38" ht="26.25" customHeight="1" x14ac:dyDescent="0.25">
      <c r="B97" s="171">
        <v>67</v>
      </c>
      <c r="C97" s="161" t="s">
        <v>484</v>
      </c>
      <c r="D97" s="161" t="s">
        <v>225</v>
      </c>
      <c r="E97" s="176"/>
      <c r="F97" s="191">
        <v>15</v>
      </c>
      <c r="G97" s="204">
        <v>284.33</v>
      </c>
      <c r="H97" s="205">
        <f t="shared" si="115"/>
        <v>4264.95</v>
      </c>
      <c r="I97" s="206">
        <v>0</v>
      </c>
      <c r="J97" s="206">
        <v>0</v>
      </c>
      <c r="K97" s="206">
        <v>0</v>
      </c>
      <c r="L97" s="205">
        <v>0</v>
      </c>
      <c r="M97" s="206">
        <v>0</v>
      </c>
      <c r="N97" s="205">
        <v>0</v>
      </c>
      <c r="O97" s="205">
        <f t="shared" si="122"/>
        <v>4264.95</v>
      </c>
      <c r="P97" s="207"/>
      <c r="Q97" s="205">
        <v>0</v>
      </c>
      <c r="R97" s="205">
        <f t="shared" si="123"/>
        <v>4264.95</v>
      </c>
      <c r="S97" s="205">
        <f t="shared" si="116"/>
        <v>2699.41</v>
      </c>
      <c r="T97" s="205">
        <f t="shared" si="124"/>
        <v>1565.54</v>
      </c>
      <c r="U97" s="208">
        <f t="shared" si="117"/>
        <v>0.10879999999999999</v>
      </c>
      <c r="V97" s="205">
        <f t="shared" si="125"/>
        <v>170.33075199999999</v>
      </c>
      <c r="W97" s="205">
        <f t="shared" si="118"/>
        <v>158.55000000000001</v>
      </c>
      <c r="X97" s="205">
        <f t="shared" si="126"/>
        <v>328.88075200000003</v>
      </c>
      <c r="Y97" s="205">
        <f t="shared" si="119"/>
        <v>0</v>
      </c>
      <c r="Z97" s="205">
        <f t="shared" si="127"/>
        <v>328.88</v>
      </c>
      <c r="AA97" s="209"/>
      <c r="AB97" s="205">
        <f t="shared" si="128"/>
        <v>0</v>
      </c>
      <c r="AC97" s="205">
        <f t="shared" si="129"/>
        <v>328.88</v>
      </c>
      <c r="AD97" s="205">
        <v>0</v>
      </c>
      <c r="AE97" s="205">
        <v>0</v>
      </c>
      <c r="AF97" s="205">
        <v>0</v>
      </c>
      <c r="AG97" s="281">
        <v>0</v>
      </c>
      <c r="AH97" s="205">
        <f t="shared" si="130"/>
        <v>328.88</v>
      </c>
      <c r="AI97" s="205">
        <f t="shared" si="121"/>
        <v>3936.0699999999997</v>
      </c>
      <c r="AJ97" s="205"/>
      <c r="AK97" s="255"/>
    </row>
    <row r="98" spans="2:38" ht="26.25" customHeight="1" x14ac:dyDescent="0.25">
      <c r="B98" s="171">
        <v>68</v>
      </c>
      <c r="C98" s="161" t="s">
        <v>524</v>
      </c>
      <c r="D98" s="191" t="s">
        <v>116</v>
      </c>
      <c r="E98" s="176"/>
      <c r="F98" s="191">
        <v>14</v>
      </c>
      <c r="G98" s="204">
        <v>107.27</v>
      </c>
      <c r="H98" s="205">
        <f t="shared" si="115"/>
        <v>1501.78</v>
      </c>
      <c r="I98" s="206">
        <v>0</v>
      </c>
      <c r="J98" s="206">
        <v>0</v>
      </c>
      <c r="K98" s="206">
        <v>0</v>
      </c>
      <c r="L98" s="205">
        <v>0</v>
      </c>
      <c r="M98" s="206">
        <v>0</v>
      </c>
      <c r="N98" s="205">
        <v>0</v>
      </c>
      <c r="O98" s="205">
        <f t="shared" si="122"/>
        <v>1501.78</v>
      </c>
      <c r="P98" s="207"/>
      <c r="Q98" s="205">
        <v>0</v>
      </c>
      <c r="R98" s="205">
        <f t="shared" si="123"/>
        <v>1501.78</v>
      </c>
      <c r="S98" s="205">
        <f t="shared" si="116"/>
        <v>318.01</v>
      </c>
      <c r="T98" s="205">
        <f t="shared" si="124"/>
        <v>1183.77</v>
      </c>
      <c r="U98" s="208">
        <f t="shared" si="117"/>
        <v>6.4000000000000001E-2</v>
      </c>
      <c r="V98" s="205">
        <f t="shared" si="125"/>
        <v>75.761279999999999</v>
      </c>
      <c r="W98" s="205">
        <f t="shared" si="118"/>
        <v>6.15</v>
      </c>
      <c r="X98" s="205">
        <f t="shared" si="126"/>
        <v>81.911280000000005</v>
      </c>
      <c r="Y98" s="205">
        <f t="shared" si="119"/>
        <v>200.7</v>
      </c>
      <c r="Z98" s="205">
        <f t="shared" si="127"/>
        <v>-118.79</v>
      </c>
      <c r="AA98" s="209"/>
      <c r="AB98" s="205">
        <f t="shared" si="128"/>
        <v>118.79</v>
      </c>
      <c r="AC98" s="205">
        <f t="shared" si="129"/>
        <v>0</v>
      </c>
      <c r="AD98" s="205">
        <v>0</v>
      </c>
      <c r="AE98" s="205">
        <v>0</v>
      </c>
      <c r="AF98" s="205">
        <v>0</v>
      </c>
      <c r="AG98" s="281">
        <v>0</v>
      </c>
      <c r="AH98" s="205">
        <f t="shared" si="130"/>
        <v>0</v>
      </c>
      <c r="AI98" s="205">
        <f t="shared" si="121"/>
        <v>1620.57</v>
      </c>
      <c r="AJ98" s="205"/>
      <c r="AK98" s="255"/>
    </row>
    <row r="99" spans="2:38" ht="26.25" customHeight="1" x14ac:dyDescent="0.25">
      <c r="B99" s="171">
        <v>69</v>
      </c>
      <c r="C99" s="161" t="s">
        <v>405</v>
      </c>
      <c r="D99" s="191" t="s">
        <v>116</v>
      </c>
      <c r="E99" s="176"/>
      <c r="F99" s="191">
        <v>15</v>
      </c>
      <c r="G99" s="204">
        <v>107.27</v>
      </c>
      <c r="H99" s="205">
        <f t="shared" si="115"/>
        <v>1609.05</v>
      </c>
      <c r="I99" s="206">
        <v>0</v>
      </c>
      <c r="J99" s="206">
        <v>0</v>
      </c>
      <c r="K99" s="206">
        <v>0</v>
      </c>
      <c r="L99" s="205">
        <v>0</v>
      </c>
      <c r="M99" s="206">
        <v>0</v>
      </c>
      <c r="N99" s="205">
        <v>0</v>
      </c>
      <c r="O99" s="205">
        <f t="shared" si="122"/>
        <v>1609.05</v>
      </c>
      <c r="P99" s="207"/>
      <c r="Q99" s="205">
        <v>0</v>
      </c>
      <c r="R99" s="205">
        <f t="shared" si="123"/>
        <v>1609.05</v>
      </c>
      <c r="S99" s="205">
        <f t="shared" si="116"/>
        <v>318.01</v>
      </c>
      <c r="T99" s="205">
        <f t="shared" si="124"/>
        <v>1291.04</v>
      </c>
      <c r="U99" s="208">
        <f t="shared" si="117"/>
        <v>6.4000000000000001E-2</v>
      </c>
      <c r="V99" s="205">
        <f t="shared" ref="V99:V102" si="131">T99*U99</f>
        <v>82.626559999999998</v>
      </c>
      <c r="W99" s="205">
        <f t="shared" si="118"/>
        <v>6.15</v>
      </c>
      <c r="X99" s="205">
        <f>V99+W99</f>
        <v>88.776560000000003</v>
      </c>
      <c r="Y99" s="205">
        <f t="shared" si="119"/>
        <v>200.7</v>
      </c>
      <c r="Z99" s="205">
        <f t="shared" ref="Z99:Z102" si="132">ROUND(X99-Y99,2)</f>
        <v>-111.92</v>
      </c>
      <c r="AA99" s="209"/>
      <c r="AB99" s="205">
        <f t="shared" ref="AB99:AB102" si="133">-IF(Z99&gt;0,0,Z99)</f>
        <v>111.92</v>
      </c>
      <c r="AC99" s="205">
        <f t="shared" ref="AC99:AC102" si="134">IF(Z99&lt;0,0,Z99)</f>
        <v>0</v>
      </c>
      <c r="AD99" s="205">
        <v>0</v>
      </c>
      <c r="AE99" s="205">
        <v>0</v>
      </c>
      <c r="AF99" s="205">
        <v>0</v>
      </c>
      <c r="AG99" s="281">
        <v>0</v>
      </c>
      <c r="AH99" s="205">
        <f t="shared" si="130"/>
        <v>0</v>
      </c>
      <c r="AI99" s="205">
        <f t="shared" si="121"/>
        <v>1720.97</v>
      </c>
      <c r="AJ99" s="205"/>
      <c r="AK99" s="255"/>
    </row>
    <row r="100" spans="2:38" ht="24.75" customHeight="1" x14ac:dyDescent="0.25">
      <c r="B100" s="171">
        <v>70</v>
      </c>
      <c r="C100" s="161" t="s">
        <v>518</v>
      </c>
      <c r="D100" s="191" t="s">
        <v>247</v>
      </c>
      <c r="E100" s="176"/>
      <c r="F100" s="191">
        <v>15</v>
      </c>
      <c r="G100" s="204">
        <v>107.27</v>
      </c>
      <c r="H100" s="205">
        <f t="shared" si="115"/>
        <v>1609.05</v>
      </c>
      <c r="I100" s="206">
        <v>0</v>
      </c>
      <c r="J100" s="206">
        <v>0</v>
      </c>
      <c r="K100" s="206">
        <v>0</v>
      </c>
      <c r="L100" s="205">
        <v>0</v>
      </c>
      <c r="M100" s="206">
        <v>0</v>
      </c>
      <c r="N100" s="205">
        <v>0</v>
      </c>
      <c r="O100" s="205">
        <f t="shared" si="122"/>
        <v>1609.05</v>
      </c>
      <c r="P100" s="207"/>
      <c r="Q100" s="205">
        <v>0</v>
      </c>
      <c r="R100" s="205">
        <f t="shared" si="123"/>
        <v>1609.05</v>
      </c>
      <c r="S100" s="205">
        <f t="shared" si="116"/>
        <v>318.01</v>
      </c>
      <c r="T100" s="205">
        <f>R100-S100</f>
        <v>1291.04</v>
      </c>
      <c r="U100" s="208">
        <f t="shared" si="117"/>
        <v>6.4000000000000001E-2</v>
      </c>
      <c r="V100" s="205">
        <f t="shared" si="131"/>
        <v>82.626559999999998</v>
      </c>
      <c r="W100" s="205">
        <f t="shared" si="118"/>
        <v>6.15</v>
      </c>
      <c r="X100" s="205">
        <f>V100+W100</f>
        <v>88.776560000000003</v>
      </c>
      <c r="Y100" s="205">
        <f t="shared" si="119"/>
        <v>200.7</v>
      </c>
      <c r="Z100" s="205">
        <f t="shared" si="132"/>
        <v>-111.92</v>
      </c>
      <c r="AA100" s="209"/>
      <c r="AB100" s="205">
        <f t="shared" si="133"/>
        <v>111.92</v>
      </c>
      <c r="AC100" s="205">
        <f t="shared" si="134"/>
        <v>0</v>
      </c>
      <c r="AD100" s="205">
        <v>0</v>
      </c>
      <c r="AE100" s="205">
        <v>0</v>
      </c>
      <c r="AF100" s="205">
        <v>0</v>
      </c>
      <c r="AG100" s="281">
        <v>0</v>
      </c>
      <c r="AH100" s="205">
        <f t="shared" si="130"/>
        <v>0</v>
      </c>
      <c r="AI100" s="205">
        <f t="shared" si="121"/>
        <v>1720.97</v>
      </c>
      <c r="AJ100" s="205"/>
      <c r="AK100" s="255"/>
    </row>
    <row r="101" spans="2:38" ht="26.25" customHeight="1" x14ac:dyDescent="0.25">
      <c r="B101" s="171">
        <v>71</v>
      </c>
      <c r="C101" s="161" t="s">
        <v>342</v>
      </c>
      <c r="D101" s="191" t="s">
        <v>157</v>
      </c>
      <c r="E101" s="191"/>
      <c r="F101" s="191">
        <v>15</v>
      </c>
      <c r="G101" s="204">
        <v>78.73</v>
      </c>
      <c r="H101" s="205">
        <f t="shared" si="115"/>
        <v>1180.95</v>
      </c>
      <c r="I101" s="206">
        <v>0</v>
      </c>
      <c r="J101" s="206">
        <v>0</v>
      </c>
      <c r="K101" s="206">
        <v>0</v>
      </c>
      <c r="L101" s="205">
        <v>0</v>
      </c>
      <c r="M101" s="206">
        <v>0</v>
      </c>
      <c r="N101" s="205">
        <v>0</v>
      </c>
      <c r="O101" s="205">
        <f t="shared" si="122"/>
        <v>1180.95</v>
      </c>
      <c r="P101" s="207"/>
      <c r="Q101" s="205">
        <v>0</v>
      </c>
      <c r="R101" s="205">
        <f t="shared" si="123"/>
        <v>1180.95</v>
      </c>
      <c r="S101" s="205">
        <f t="shared" si="116"/>
        <v>318.01</v>
      </c>
      <c r="T101" s="205">
        <f>R101-S101</f>
        <v>862.94</v>
      </c>
      <c r="U101" s="208">
        <f t="shared" si="117"/>
        <v>6.4000000000000001E-2</v>
      </c>
      <c r="V101" s="205">
        <f t="shared" si="131"/>
        <v>55.228160000000003</v>
      </c>
      <c r="W101" s="205">
        <f t="shared" si="118"/>
        <v>6.15</v>
      </c>
      <c r="X101" s="205">
        <f t="shared" ref="X101:X108" si="135">V101+W101</f>
        <v>61.378160000000001</v>
      </c>
      <c r="Y101" s="205">
        <f t="shared" si="119"/>
        <v>200.7</v>
      </c>
      <c r="Z101" s="205">
        <f t="shared" si="132"/>
        <v>-139.32</v>
      </c>
      <c r="AA101" s="209"/>
      <c r="AB101" s="205">
        <f t="shared" si="133"/>
        <v>139.32</v>
      </c>
      <c r="AC101" s="205">
        <f t="shared" si="134"/>
        <v>0</v>
      </c>
      <c r="AD101" s="205">
        <v>0</v>
      </c>
      <c r="AE101" s="205">
        <v>0</v>
      </c>
      <c r="AF101" s="205">
        <v>0</v>
      </c>
      <c r="AG101" s="281">
        <v>0</v>
      </c>
      <c r="AH101" s="205">
        <f t="shared" si="130"/>
        <v>0</v>
      </c>
      <c r="AI101" s="205">
        <f t="shared" si="121"/>
        <v>1320.27</v>
      </c>
      <c r="AJ101" s="205"/>
      <c r="AK101" s="255"/>
    </row>
    <row r="102" spans="2:38" ht="20.25" customHeight="1" x14ac:dyDescent="0.25">
      <c r="B102" s="171">
        <v>72</v>
      </c>
      <c r="C102" s="161" t="s">
        <v>453</v>
      </c>
      <c r="D102" s="191" t="s">
        <v>149</v>
      </c>
      <c r="E102" s="176"/>
      <c r="F102" s="191">
        <v>15</v>
      </c>
      <c r="G102" s="204">
        <v>130.4</v>
      </c>
      <c r="H102" s="205">
        <f t="shared" si="115"/>
        <v>1956</v>
      </c>
      <c r="I102" s="206">
        <v>0</v>
      </c>
      <c r="J102" s="206">
        <v>0</v>
      </c>
      <c r="K102" s="206">
        <v>0</v>
      </c>
      <c r="L102" s="205">
        <v>0</v>
      </c>
      <c r="M102" s="206">
        <v>0</v>
      </c>
      <c r="N102" s="205">
        <v>0</v>
      </c>
      <c r="O102" s="205">
        <f t="shared" si="122"/>
        <v>1956</v>
      </c>
      <c r="P102" s="207"/>
      <c r="Q102" s="205">
        <v>0</v>
      </c>
      <c r="R102" s="205">
        <f t="shared" si="123"/>
        <v>1956</v>
      </c>
      <c r="S102" s="205">
        <f t="shared" si="116"/>
        <v>318.01</v>
      </c>
      <c r="T102" s="205">
        <f>R102-S102</f>
        <v>1637.99</v>
      </c>
      <c r="U102" s="208">
        <f t="shared" si="117"/>
        <v>6.4000000000000001E-2</v>
      </c>
      <c r="V102" s="205">
        <f t="shared" si="131"/>
        <v>104.83136</v>
      </c>
      <c r="W102" s="205">
        <f t="shared" si="118"/>
        <v>6.15</v>
      </c>
      <c r="X102" s="205">
        <f t="shared" si="135"/>
        <v>110.98136000000001</v>
      </c>
      <c r="Y102" s="205">
        <f t="shared" si="119"/>
        <v>188.7</v>
      </c>
      <c r="Z102" s="205">
        <f t="shared" si="132"/>
        <v>-77.72</v>
      </c>
      <c r="AA102" s="209"/>
      <c r="AB102" s="205">
        <f t="shared" si="133"/>
        <v>77.72</v>
      </c>
      <c r="AC102" s="205">
        <f t="shared" si="134"/>
        <v>0</v>
      </c>
      <c r="AD102" s="205">
        <v>0</v>
      </c>
      <c r="AE102" s="205">
        <v>0</v>
      </c>
      <c r="AF102" s="205">
        <v>0</v>
      </c>
      <c r="AG102" s="281">
        <v>0</v>
      </c>
      <c r="AH102" s="205">
        <f t="shared" si="130"/>
        <v>0</v>
      </c>
      <c r="AI102" s="205">
        <f t="shared" si="121"/>
        <v>2033.72</v>
      </c>
      <c r="AJ102" s="205"/>
      <c r="AK102" s="255"/>
    </row>
    <row r="103" spans="2:38" ht="20.25" customHeight="1" x14ac:dyDescent="0.25">
      <c r="B103" s="171">
        <v>73</v>
      </c>
      <c r="C103" s="161" t="s">
        <v>528</v>
      </c>
      <c r="D103" s="191" t="s">
        <v>135</v>
      </c>
      <c r="E103" s="176"/>
      <c r="F103" s="191">
        <v>15</v>
      </c>
      <c r="G103" s="204">
        <v>78.73</v>
      </c>
      <c r="H103" s="205">
        <f t="shared" si="115"/>
        <v>1180.95</v>
      </c>
      <c r="I103" s="206">
        <v>0</v>
      </c>
      <c r="J103" s="206">
        <v>0</v>
      </c>
      <c r="K103" s="206">
        <v>0</v>
      </c>
      <c r="L103" s="205">
        <v>0</v>
      </c>
      <c r="M103" s="206">
        <v>0</v>
      </c>
      <c r="N103" s="205">
        <v>0</v>
      </c>
      <c r="O103" s="205">
        <f t="shared" si="122"/>
        <v>1180.95</v>
      </c>
      <c r="P103" s="207"/>
      <c r="Q103" s="205">
        <v>0</v>
      </c>
      <c r="R103" s="205">
        <f t="shared" si="123"/>
        <v>1180.95</v>
      </c>
      <c r="S103" s="205">
        <f t="shared" si="116"/>
        <v>318.01</v>
      </c>
      <c r="T103" s="205">
        <f t="shared" ref="T103:T108" si="136">R103-S103</f>
        <v>862.94</v>
      </c>
      <c r="U103" s="208">
        <f t="shared" si="117"/>
        <v>6.4000000000000001E-2</v>
      </c>
      <c r="V103" s="205">
        <f t="shared" ref="V103:V105" si="137">T103*U103</f>
        <v>55.228160000000003</v>
      </c>
      <c r="W103" s="205">
        <f t="shared" si="118"/>
        <v>6.15</v>
      </c>
      <c r="X103" s="205">
        <f t="shared" si="135"/>
        <v>61.378160000000001</v>
      </c>
      <c r="Y103" s="205">
        <f t="shared" si="119"/>
        <v>200.7</v>
      </c>
      <c r="Z103" s="205">
        <f t="shared" ref="Z103:Z105" si="138">ROUND(X103-Y103,2)</f>
        <v>-139.32</v>
      </c>
      <c r="AA103" s="209"/>
      <c r="AB103" s="205">
        <f t="shared" ref="AB103:AB105" si="139">-IF(Z103&gt;0,0,Z103)</f>
        <v>139.32</v>
      </c>
      <c r="AC103" s="205">
        <f t="shared" ref="AC103:AC105" si="140">IF(Z103&lt;0,0,Z103)</f>
        <v>0</v>
      </c>
      <c r="AD103" s="205">
        <v>0</v>
      </c>
      <c r="AE103" s="205">
        <v>0</v>
      </c>
      <c r="AF103" s="205">
        <v>0</v>
      </c>
      <c r="AG103" s="281">
        <v>0</v>
      </c>
      <c r="AH103" s="205">
        <f t="shared" si="130"/>
        <v>0</v>
      </c>
      <c r="AI103" s="205">
        <f t="shared" si="121"/>
        <v>1320.27</v>
      </c>
      <c r="AJ103" s="205"/>
      <c r="AK103" s="255"/>
    </row>
    <row r="104" spans="2:38" ht="20.25" customHeight="1" x14ac:dyDescent="0.25">
      <c r="B104" s="171">
        <v>74</v>
      </c>
      <c r="C104" s="161" t="s">
        <v>398</v>
      </c>
      <c r="D104" s="191" t="s">
        <v>135</v>
      </c>
      <c r="E104" s="176"/>
      <c r="F104" s="191">
        <v>15</v>
      </c>
      <c r="G104" s="204">
        <v>78.73</v>
      </c>
      <c r="H104" s="205">
        <f t="shared" si="115"/>
        <v>1180.95</v>
      </c>
      <c r="I104" s="206">
        <v>0</v>
      </c>
      <c r="J104" s="206">
        <v>0</v>
      </c>
      <c r="K104" s="206">
        <v>0</v>
      </c>
      <c r="L104" s="205">
        <v>0</v>
      </c>
      <c r="M104" s="206">
        <v>0</v>
      </c>
      <c r="N104" s="205">
        <v>0</v>
      </c>
      <c r="O104" s="205">
        <f t="shared" si="122"/>
        <v>1180.95</v>
      </c>
      <c r="P104" s="207"/>
      <c r="Q104" s="205">
        <v>0</v>
      </c>
      <c r="R104" s="205">
        <f t="shared" si="123"/>
        <v>1180.95</v>
      </c>
      <c r="S104" s="205">
        <f t="shared" si="116"/>
        <v>318.01</v>
      </c>
      <c r="T104" s="205">
        <f t="shared" si="136"/>
        <v>862.94</v>
      </c>
      <c r="U104" s="208">
        <f t="shared" si="117"/>
        <v>6.4000000000000001E-2</v>
      </c>
      <c r="V104" s="205">
        <f t="shared" si="137"/>
        <v>55.228160000000003</v>
      </c>
      <c r="W104" s="205">
        <f t="shared" si="118"/>
        <v>6.15</v>
      </c>
      <c r="X104" s="205">
        <f t="shared" si="135"/>
        <v>61.378160000000001</v>
      </c>
      <c r="Y104" s="205">
        <f t="shared" si="119"/>
        <v>200.7</v>
      </c>
      <c r="Z104" s="205">
        <f t="shared" si="138"/>
        <v>-139.32</v>
      </c>
      <c r="AA104" s="209"/>
      <c r="AB104" s="205">
        <f t="shared" si="139"/>
        <v>139.32</v>
      </c>
      <c r="AC104" s="205">
        <f t="shared" si="140"/>
        <v>0</v>
      </c>
      <c r="AD104" s="205">
        <v>0</v>
      </c>
      <c r="AE104" s="205">
        <v>0</v>
      </c>
      <c r="AF104" s="205">
        <v>0</v>
      </c>
      <c r="AG104" s="281">
        <v>0</v>
      </c>
      <c r="AH104" s="205">
        <f t="shared" si="130"/>
        <v>0</v>
      </c>
      <c r="AI104" s="205">
        <f t="shared" si="121"/>
        <v>1320.27</v>
      </c>
      <c r="AJ104" s="205"/>
      <c r="AK104" s="255"/>
    </row>
    <row r="105" spans="2:38" ht="20.25" customHeight="1" x14ac:dyDescent="0.25">
      <c r="B105" s="171">
        <v>75</v>
      </c>
      <c r="C105" s="161" t="s">
        <v>395</v>
      </c>
      <c r="D105" s="191" t="s">
        <v>135</v>
      </c>
      <c r="E105" s="176"/>
      <c r="F105" s="191">
        <v>15</v>
      </c>
      <c r="G105" s="204">
        <v>78.73</v>
      </c>
      <c r="H105" s="205">
        <f t="shared" si="115"/>
        <v>1180.95</v>
      </c>
      <c r="I105" s="206">
        <v>0</v>
      </c>
      <c r="J105" s="206">
        <v>0</v>
      </c>
      <c r="K105" s="206">
        <v>0</v>
      </c>
      <c r="L105" s="205">
        <v>0</v>
      </c>
      <c r="M105" s="206">
        <v>0</v>
      </c>
      <c r="N105" s="205">
        <v>0</v>
      </c>
      <c r="O105" s="205">
        <f t="shared" si="122"/>
        <v>1180.95</v>
      </c>
      <c r="P105" s="207"/>
      <c r="Q105" s="205">
        <v>0</v>
      </c>
      <c r="R105" s="205">
        <f t="shared" si="123"/>
        <v>1180.95</v>
      </c>
      <c r="S105" s="205">
        <f t="shared" si="116"/>
        <v>318.01</v>
      </c>
      <c r="T105" s="205">
        <f t="shared" si="136"/>
        <v>862.94</v>
      </c>
      <c r="U105" s="208">
        <f t="shared" si="117"/>
        <v>6.4000000000000001E-2</v>
      </c>
      <c r="V105" s="205">
        <f t="shared" si="137"/>
        <v>55.228160000000003</v>
      </c>
      <c r="W105" s="205">
        <f t="shared" si="118"/>
        <v>6.15</v>
      </c>
      <c r="X105" s="205">
        <f t="shared" si="135"/>
        <v>61.378160000000001</v>
      </c>
      <c r="Y105" s="205">
        <f t="shared" si="119"/>
        <v>200.7</v>
      </c>
      <c r="Z105" s="205">
        <f t="shared" si="138"/>
        <v>-139.32</v>
      </c>
      <c r="AA105" s="209"/>
      <c r="AB105" s="205">
        <f t="shared" si="139"/>
        <v>139.32</v>
      </c>
      <c r="AC105" s="205">
        <f t="shared" si="140"/>
        <v>0</v>
      </c>
      <c r="AD105" s="205">
        <v>0</v>
      </c>
      <c r="AE105" s="205">
        <v>0</v>
      </c>
      <c r="AF105" s="205">
        <v>0</v>
      </c>
      <c r="AG105" s="281">
        <v>0</v>
      </c>
      <c r="AH105" s="205">
        <f t="shared" si="130"/>
        <v>0</v>
      </c>
      <c r="AI105" s="205">
        <f t="shared" si="121"/>
        <v>1320.27</v>
      </c>
      <c r="AJ105" s="205"/>
      <c r="AK105" s="255"/>
    </row>
    <row r="106" spans="2:38" ht="20.25" customHeight="1" x14ac:dyDescent="0.25">
      <c r="B106" s="171">
        <v>76</v>
      </c>
      <c r="C106" s="161" t="s">
        <v>480</v>
      </c>
      <c r="D106" s="191" t="s">
        <v>148</v>
      </c>
      <c r="E106" s="176"/>
      <c r="F106" s="191">
        <v>15</v>
      </c>
      <c r="G106" s="204">
        <v>170.73</v>
      </c>
      <c r="H106" s="205">
        <f t="shared" si="115"/>
        <v>2560.9499999999998</v>
      </c>
      <c r="I106" s="206">
        <v>0</v>
      </c>
      <c r="J106" s="206">
        <v>0</v>
      </c>
      <c r="K106" s="206">
        <v>0</v>
      </c>
      <c r="L106" s="205">
        <v>0</v>
      </c>
      <c r="M106" s="206">
        <v>0</v>
      </c>
      <c r="N106" s="205">
        <v>0</v>
      </c>
      <c r="O106" s="205">
        <f t="shared" si="122"/>
        <v>2560.9499999999998</v>
      </c>
      <c r="P106" s="207"/>
      <c r="Q106" s="205">
        <v>0</v>
      </c>
      <c r="R106" s="205">
        <f t="shared" si="123"/>
        <v>2560.9499999999998</v>
      </c>
      <c r="S106" s="205">
        <f t="shared" si="116"/>
        <v>318.01</v>
      </c>
      <c r="T106" s="205">
        <f t="shared" si="136"/>
        <v>2242.9399999999996</v>
      </c>
      <c r="U106" s="208">
        <f t="shared" si="117"/>
        <v>6.4000000000000001E-2</v>
      </c>
      <c r="V106" s="205">
        <f>T106*U106</f>
        <v>143.54815999999997</v>
      </c>
      <c r="W106" s="205">
        <f t="shared" si="118"/>
        <v>6.15</v>
      </c>
      <c r="X106" s="205">
        <f t="shared" si="135"/>
        <v>149.69815999999997</v>
      </c>
      <c r="Y106" s="205">
        <f t="shared" si="119"/>
        <v>160.35</v>
      </c>
      <c r="Z106" s="205">
        <f>ROUND(X106-Y106,2)</f>
        <v>-10.65</v>
      </c>
      <c r="AA106" s="209"/>
      <c r="AB106" s="205">
        <f>-IF(Z106&gt;0,0,Z106)</f>
        <v>10.65</v>
      </c>
      <c r="AC106" s="205">
        <f>IF(Z106&lt;0,0,Z106)</f>
        <v>0</v>
      </c>
      <c r="AD106" s="205">
        <v>0</v>
      </c>
      <c r="AE106" s="205">
        <v>0</v>
      </c>
      <c r="AF106" s="205">
        <v>0</v>
      </c>
      <c r="AG106" s="281">
        <v>0</v>
      </c>
      <c r="AH106" s="205">
        <f t="shared" si="130"/>
        <v>0</v>
      </c>
      <c r="AI106" s="205">
        <f t="shared" si="121"/>
        <v>2571.6</v>
      </c>
      <c r="AJ106" s="205"/>
      <c r="AK106" s="255"/>
    </row>
    <row r="107" spans="2:38" ht="20.25" customHeight="1" x14ac:dyDescent="0.25">
      <c r="B107" s="171">
        <v>77</v>
      </c>
      <c r="C107" s="161" t="s">
        <v>410</v>
      </c>
      <c r="D107" s="191" t="s">
        <v>115</v>
      </c>
      <c r="E107" s="176"/>
      <c r="F107" s="191">
        <v>15</v>
      </c>
      <c r="G107" s="204">
        <v>153.33000000000001</v>
      </c>
      <c r="H107" s="205">
        <f t="shared" si="115"/>
        <v>2299.9500000000003</v>
      </c>
      <c r="I107" s="206">
        <v>0</v>
      </c>
      <c r="J107" s="206">
        <v>0</v>
      </c>
      <c r="K107" s="206">
        <v>0</v>
      </c>
      <c r="L107" s="205">
        <v>0</v>
      </c>
      <c r="M107" s="206">
        <v>0</v>
      </c>
      <c r="N107" s="205">
        <v>0</v>
      </c>
      <c r="O107" s="205">
        <f t="shared" si="122"/>
        <v>2299.9500000000003</v>
      </c>
      <c r="P107" s="207"/>
      <c r="Q107" s="205">
        <v>0</v>
      </c>
      <c r="R107" s="205">
        <f t="shared" si="123"/>
        <v>2299.9500000000003</v>
      </c>
      <c r="S107" s="205">
        <f t="shared" si="116"/>
        <v>318.01</v>
      </c>
      <c r="T107" s="205">
        <f t="shared" si="136"/>
        <v>1981.9400000000003</v>
      </c>
      <c r="U107" s="208">
        <f t="shared" si="117"/>
        <v>6.4000000000000001E-2</v>
      </c>
      <c r="V107" s="205">
        <f t="shared" ref="V107:V108" si="141">T107*U107</f>
        <v>126.84416000000002</v>
      </c>
      <c r="W107" s="205">
        <f t="shared" si="118"/>
        <v>6.15</v>
      </c>
      <c r="X107" s="205">
        <f t="shared" si="135"/>
        <v>132.99416000000002</v>
      </c>
      <c r="Y107" s="205">
        <f t="shared" si="119"/>
        <v>174.75</v>
      </c>
      <c r="Z107" s="205">
        <f t="shared" ref="Z107:Z108" si="142">ROUND(X107-Y107,2)</f>
        <v>-41.76</v>
      </c>
      <c r="AA107" s="209"/>
      <c r="AB107" s="205">
        <f t="shared" ref="AB107:AB108" si="143">-IF(Z107&gt;0,0,Z107)</f>
        <v>41.76</v>
      </c>
      <c r="AC107" s="205">
        <f t="shared" ref="AC107:AC108" si="144">IF(Z107&lt;0,0,Z107)</f>
        <v>0</v>
      </c>
      <c r="AD107" s="205">
        <v>0</v>
      </c>
      <c r="AE107" s="205">
        <v>0</v>
      </c>
      <c r="AF107" s="205">
        <v>0</v>
      </c>
      <c r="AG107" s="281">
        <v>0</v>
      </c>
      <c r="AH107" s="205">
        <f t="shared" si="130"/>
        <v>0</v>
      </c>
      <c r="AI107" s="205">
        <f t="shared" si="121"/>
        <v>2341.7100000000005</v>
      </c>
      <c r="AJ107" s="205"/>
      <c r="AK107" s="255"/>
    </row>
    <row r="108" spans="2:38" ht="24.75" customHeight="1" x14ac:dyDescent="0.25">
      <c r="B108" s="171">
        <v>78</v>
      </c>
      <c r="C108" s="161" t="s">
        <v>445</v>
      </c>
      <c r="D108" s="161" t="s">
        <v>246</v>
      </c>
      <c r="E108" s="176"/>
      <c r="F108" s="191">
        <v>15</v>
      </c>
      <c r="G108" s="204">
        <v>78.73</v>
      </c>
      <c r="H108" s="205">
        <f t="shared" si="115"/>
        <v>1180.95</v>
      </c>
      <c r="I108" s="206">
        <v>0</v>
      </c>
      <c r="J108" s="206">
        <v>0</v>
      </c>
      <c r="K108" s="206">
        <v>0</v>
      </c>
      <c r="L108" s="205">
        <v>0</v>
      </c>
      <c r="M108" s="206">
        <v>0</v>
      </c>
      <c r="N108" s="205">
        <v>0</v>
      </c>
      <c r="O108" s="205">
        <f t="shared" si="122"/>
        <v>1180.95</v>
      </c>
      <c r="P108" s="207"/>
      <c r="Q108" s="205">
        <v>0</v>
      </c>
      <c r="R108" s="205">
        <f t="shared" si="123"/>
        <v>1180.95</v>
      </c>
      <c r="S108" s="205">
        <f t="shared" si="116"/>
        <v>318.01</v>
      </c>
      <c r="T108" s="205">
        <f t="shared" si="136"/>
        <v>862.94</v>
      </c>
      <c r="U108" s="208">
        <f t="shared" si="117"/>
        <v>6.4000000000000001E-2</v>
      </c>
      <c r="V108" s="205">
        <f t="shared" si="141"/>
        <v>55.228160000000003</v>
      </c>
      <c r="W108" s="205">
        <f t="shared" si="118"/>
        <v>6.15</v>
      </c>
      <c r="X108" s="205">
        <f t="shared" si="135"/>
        <v>61.378160000000001</v>
      </c>
      <c r="Y108" s="205">
        <f t="shared" si="119"/>
        <v>200.7</v>
      </c>
      <c r="Z108" s="205">
        <f t="shared" si="142"/>
        <v>-139.32</v>
      </c>
      <c r="AA108" s="209"/>
      <c r="AB108" s="205">
        <f t="shared" si="143"/>
        <v>139.32</v>
      </c>
      <c r="AC108" s="205">
        <f t="shared" si="144"/>
        <v>0</v>
      </c>
      <c r="AD108" s="205">
        <v>0</v>
      </c>
      <c r="AE108" s="205">
        <v>0</v>
      </c>
      <c r="AF108" s="205">
        <v>0</v>
      </c>
      <c r="AG108" s="281">
        <v>0</v>
      </c>
      <c r="AH108" s="205">
        <f t="shared" si="130"/>
        <v>0</v>
      </c>
      <c r="AI108" s="205">
        <f t="shared" si="121"/>
        <v>1320.27</v>
      </c>
      <c r="AJ108" s="205"/>
      <c r="AK108" s="255"/>
    </row>
    <row r="109" spans="2:38" ht="21.75" customHeight="1" x14ac:dyDescent="0.25">
      <c r="B109" s="171"/>
      <c r="C109" s="161"/>
      <c r="D109" s="275" t="s">
        <v>111</v>
      </c>
      <c r="E109" s="443"/>
      <c r="F109" s="444"/>
      <c r="G109" s="445"/>
      <c r="H109" s="280">
        <f>SUM(H94:H108)</f>
        <v>25891.480000000003</v>
      </c>
      <c r="I109" s="280">
        <f t="shared" ref="I109:N109" si="145">SUM(I95:I106)</f>
        <v>0</v>
      </c>
      <c r="J109" s="205">
        <f t="shared" si="145"/>
        <v>0</v>
      </c>
      <c r="K109" s="280">
        <f t="shared" si="145"/>
        <v>0</v>
      </c>
      <c r="L109" s="205">
        <f t="shared" si="145"/>
        <v>0</v>
      </c>
      <c r="M109" s="280">
        <f t="shared" si="145"/>
        <v>0</v>
      </c>
      <c r="N109" s="205">
        <f t="shared" si="145"/>
        <v>0</v>
      </c>
      <c r="O109" s="280">
        <f>SUM(O94:O108)</f>
        <v>25891.480000000003</v>
      </c>
      <c r="P109" s="280">
        <f t="shared" ref="P109:Z109" si="146">SUM(P95:P106)</f>
        <v>0</v>
      </c>
      <c r="Q109" s="205">
        <f t="shared" si="146"/>
        <v>0</v>
      </c>
      <c r="R109" s="280">
        <f t="shared" si="146"/>
        <v>20810.530000000002</v>
      </c>
      <c r="S109" s="280">
        <f t="shared" si="146"/>
        <v>6197.5200000000013</v>
      </c>
      <c r="T109" s="280">
        <f t="shared" si="146"/>
        <v>14613.010000000002</v>
      </c>
      <c r="U109" s="280">
        <f t="shared" si="146"/>
        <v>0.81280000000000019</v>
      </c>
      <c r="V109" s="280">
        <f t="shared" si="146"/>
        <v>1005.368832</v>
      </c>
      <c r="W109" s="280">
        <f t="shared" si="146"/>
        <v>226.20000000000007</v>
      </c>
      <c r="X109" s="280">
        <f t="shared" si="146"/>
        <v>1231.5688319999999</v>
      </c>
      <c r="Y109" s="280">
        <f t="shared" si="146"/>
        <v>2155.3500000000004</v>
      </c>
      <c r="Z109" s="280">
        <f t="shared" si="146"/>
        <v>-923.76999999999987</v>
      </c>
      <c r="AA109" s="280"/>
      <c r="AB109" s="280">
        <f>SUM(AB94:AB108)</f>
        <v>1546.2299999999998</v>
      </c>
      <c r="AC109" s="280">
        <f>SUM(AC94:AC108)</f>
        <v>328.88</v>
      </c>
      <c r="AD109" s="280">
        <f>SUM(AD95:AD106)</f>
        <v>0</v>
      </c>
      <c r="AE109" s="280">
        <f>SUM(AE95:AE106)</f>
        <v>0</v>
      </c>
      <c r="AF109" s="280">
        <f>SUM(AF95:AF106)</f>
        <v>0</v>
      </c>
      <c r="AG109" s="280">
        <f>SUM(AG94:AG108)</f>
        <v>0</v>
      </c>
      <c r="AH109" s="280">
        <f>SUM(AH94:AH108)</f>
        <v>328.88</v>
      </c>
      <c r="AI109" s="280">
        <f>SUM(AI94:AI108)</f>
        <v>27108.829999999998</v>
      </c>
      <c r="AJ109" s="171"/>
      <c r="AK109" s="255"/>
      <c r="AL109" s="108">
        <f>O109+AB109-AH109</f>
        <v>27108.83</v>
      </c>
    </row>
    <row r="110" spans="2:38" ht="21.75" customHeight="1" x14ac:dyDescent="0.25">
      <c r="B110" s="450" t="s">
        <v>132</v>
      </c>
      <c r="C110" s="450"/>
      <c r="D110" s="450"/>
      <c r="E110" s="450"/>
      <c r="F110" s="450"/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50"/>
      <c r="R110" s="450"/>
      <c r="S110" s="450"/>
      <c r="T110" s="450"/>
      <c r="U110" s="450"/>
      <c r="V110" s="450"/>
      <c r="W110" s="450"/>
      <c r="X110" s="450"/>
      <c r="Y110" s="450"/>
      <c r="Z110" s="450"/>
      <c r="AA110" s="450"/>
      <c r="AB110" s="450"/>
      <c r="AC110" s="450"/>
      <c r="AD110" s="450"/>
      <c r="AE110" s="450"/>
      <c r="AF110" s="450"/>
      <c r="AG110" s="450"/>
      <c r="AH110" s="450"/>
      <c r="AI110" s="450"/>
      <c r="AJ110" s="450"/>
      <c r="AK110" s="255"/>
    </row>
    <row r="111" spans="2:38" ht="21.75" customHeight="1" x14ac:dyDescent="0.25">
      <c r="B111" s="171">
        <v>79</v>
      </c>
      <c r="C111" s="161" t="s">
        <v>364</v>
      </c>
      <c r="D111" s="191" t="s">
        <v>150</v>
      </c>
      <c r="E111" s="176"/>
      <c r="F111" s="191">
        <v>15</v>
      </c>
      <c r="G111" s="204">
        <v>118.13</v>
      </c>
      <c r="H111" s="205">
        <f t="shared" ref="H111:H126" si="147">F111*G111</f>
        <v>1771.9499999999998</v>
      </c>
      <c r="I111" s="206">
        <v>0</v>
      </c>
      <c r="J111" s="206">
        <v>0</v>
      </c>
      <c r="K111" s="206">
        <v>0</v>
      </c>
      <c r="L111" s="206">
        <v>0</v>
      </c>
      <c r="M111" s="206">
        <v>0</v>
      </c>
      <c r="N111" s="206">
        <v>0</v>
      </c>
      <c r="O111" s="205">
        <f t="shared" ref="O111:O126" si="148">SUM(H111:N111)</f>
        <v>1771.9499999999998</v>
      </c>
      <c r="P111" s="207"/>
      <c r="Q111" s="205">
        <f>IF(G111=47.16,0,IF(G111&gt;47.16,L111*0.5,0))</f>
        <v>0</v>
      </c>
      <c r="R111" s="205">
        <f t="shared" ref="R111:R126" si="149">H111+I111+J111+M111+Q111+K111</f>
        <v>1771.9499999999998</v>
      </c>
      <c r="S111" s="205">
        <f t="shared" ref="S111:S126" si="150">VLOOKUP(R111,TARIFA1,1)</f>
        <v>318.01</v>
      </c>
      <c r="T111" s="205">
        <f t="shared" ref="T111:T126" si="151">R111-S111</f>
        <v>1453.9399999999998</v>
      </c>
      <c r="U111" s="208">
        <f t="shared" ref="U111:U126" si="152">VLOOKUP(R111,TARIFA1,3)</f>
        <v>6.4000000000000001E-2</v>
      </c>
      <c r="V111" s="205">
        <f t="shared" ref="V111:V126" si="153">T111*U111</f>
        <v>93.052159999999986</v>
      </c>
      <c r="W111" s="205">
        <f t="shared" ref="W111:W126" si="154">VLOOKUP(R111,TARIFA1,2)</f>
        <v>6.15</v>
      </c>
      <c r="X111" s="205">
        <f t="shared" ref="X111:X126" si="155">V111+W111</f>
        <v>99.202159999999992</v>
      </c>
      <c r="Y111" s="205">
        <f t="shared" ref="Y111:Y126" si="156">VLOOKUP(R111,Credito1,2)</f>
        <v>188.7</v>
      </c>
      <c r="Z111" s="205">
        <f t="shared" ref="Z111:Z126" si="157">ROUND(X111-Y111,2)</f>
        <v>-89.5</v>
      </c>
      <c r="AA111" s="209"/>
      <c r="AB111" s="205">
        <f t="shared" ref="AB111:AB126" si="158">-IF(Z111&gt;0,0,Z111)</f>
        <v>89.5</v>
      </c>
      <c r="AC111" s="205">
        <f t="shared" ref="AC111:AC126" si="159">IF(Z111&lt;0,0,Z111)</f>
        <v>0</v>
      </c>
      <c r="AD111" s="205">
        <v>0</v>
      </c>
      <c r="AE111" s="206">
        <v>0</v>
      </c>
      <c r="AF111" s="206">
        <v>0</v>
      </c>
      <c r="AG111" s="281">
        <v>0</v>
      </c>
      <c r="AH111" s="205">
        <f t="shared" ref="AH111:AH126" si="160">SUM(AC111:AG111)</f>
        <v>0</v>
      </c>
      <c r="AI111" s="205">
        <f>O111+AB111-AH111</f>
        <v>1861.4499999999998</v>
      </c>
      <c r="AJ111" s="205"/>
      <c r="AK111" s="255"/>
    </row>
    <row r="112" spans="2:38" ht="21.75" customHeight="1" x14ac:dyDescent="0.25">
      <c r="B112" s="171">
        <v>80</v>
      </c>
      <c r="C112" s="161" t="s">
        <v>472</v>
      </c>
      <c r="D112" s="191" t="s">
        <v>251</v>
      </c>
      <c r="E112" s="176"/>
      <c r="F112" s="191">
        <v>15</v>
      </c>
      <c r="G112" s="204">
        <v>78.8</v>
      </c>
      <c r="H112" s="205">
        <f t="shared" si="147"/>
        <v>1182</v>
      </c>
      <c r="I112" s="206">
        <v>0</v>
      </c>
      <c r="J112" s="206">
        <v>0</v>
      </c>
      <c r="K112" s="206">
        <v>0</v>
      </c>
      <c r="L112" s="206">
        <v>0</v>
      </c>
      <c r="M112" s="206">
        <v>0</v>
      </c>
      <c r="N112" s="206">
        <v>0</v>
      </c>
      <c r="O112" s="205">
        <f t="shared" si="148"/>
        <v>1182</v>
      </c>
      <c r="P112" s="207"/>
      <c r="Q112" s="205">
        <v>0</v>
      </c>
      <c r="R112" s="205">
        <f t="shared" si="149"/>
        <v>1182</v>
      </c>
      <c r="S112" s="205">
        <f t="shared" si="150"/>
        <v>318.01</v>
      </c>
      <c r="T112" s="205">
        <f t="shared" si="151"/>
        <v>863.99</v>
      </c>
      <c r="U112" s="208">
        <f t="shared" si="152"/>
        <v>6.4000000000000001E-2</v>
      </c>
      <c r="V112" s="205">
        <f t="shared" si="153"/>
        <v>55.295360000000002</v>
      </c>
      <c r="W112" s="205">
        <f t="shared" si="154"/>
        <v>6.15</v>
      </c>
      <c r="X112" s="205">
        <f t="shared" si="155"/>
        <v>61.445360000000001</v>
      </c>
      <c r="Y112" s="205">
        <f t="shared" si="156"/>
        <v>200.7</v>
      </c>
      <c r="Z112" s="205">
        <f t="shared" si="157"/>
        <v>-139.25</v>
      </c>
      <c r="AA112" s="209"/>
      <c r="AB112" s="205">
        <f t="shared" si="158"/>
        <v>139.25</v>
      </c>
      <c r="AC112" s="205">
        <f t="shared" si="159"/>
        <v>0</v>
      </c>
      <c r="AD112" s="205">
        <v>0</v>
      </c>
      <c r="AE112" s="206">
        <v>0</v>
      </c>
      <c r="AF112" s="206">
        <v>0</v>
      </c>
      <c r="AG112" s="281">
        <v>0</v>
      </c>
      <c r="AH112" s="205">
        <f t="shared" si="160"/>
        <v>0</v>
      </c>
      <c r="AI112" s="205">
        <f t="shared" ref="AI112:AI126" si="161">O112+AB112-AH112</f>
        <v>1321.25</v>
      </c>
      <c r="AJ112" s="205"/>
      <c r="AK112" s="255"/>
    </row>
    <row r="113" spans="1:38" ht="21.75" customHeight="1" x14ac:dyDescent="0.25">
      <c r="A113" s="100">
        <v>82</v>
      </c>
      <c r="B113" s="171">
        <v>81</v>
      </c>
      <c r="C113" s="161" t="s">
        <v>341</v>
      </c>
      <c r="D113" s="191" t="s">
        <v>251</v>
      </c>
      <c r="E113" s="176"/>
      <c r="F113" s="191">
        <v>15</v>
      </c>
      <c r="G113" s="204">
        <v>78.8</v>
      </c>
      <c r="H113" s="205">
        <f t="shared" si="147"/>
        <v>1182</v>
      </c>
      <c r="I113" s="206">
        <v>0</v>
      </c>
      <c r="J113" s="206">
        <v>0</v>
      </c>
      <c r="K113" s="206">
        <v>0</v>
      </c>
      <c r="L113" s="206">
        <v>0</v>
      </c>
      <c r="M113" s="206">
        <v>0</v>
      </c>
      <c r="N113" s="206">
        <v>0</v>
      </c>
      <c r="O113" s="205">
        <f t="shared" si="148"/>
        <v>1182</v>
      </c>
      <c r="P113" s="207"/>
      <c r="Q113" s="205">
        <f t="shared" ref="Q113:Q125" si="162">IF(G113=47.16,0,IF(G113&gt;47.16,L113*0.5,0))</f>
        <v>0</v>
      </c>
      <c r="R113" s="205">
        <f t="shared" si="149"/>
        <v>1182</v>
      </c>
      <c r="S113" s="205">
        <f t="shared" si="150"/>
        <v>318.01</v>
      </c>
      <c r="T113" s="205">
        <f t="shared" si="151"/>
        <v>863.99</v>
      </c>
      <c r="U113" s="208">
        <f t="shared" si="152"/>
        <v>6.4000000000000001E-2</v>
      </c>
      <c r="V113" s="205">
        <f t="shared" si="153"/>
        <v>55.295360000000002</v>
      </c>
      <c r="W113" s="205">
        <f t="shared" si="154"/>
        <v>6.15</v>
      </c>
      <c r="X113" s="205">
        <f t="shared" si="155"/>
        <v>61.445360000000001</v>
      </c>
      <c r="Y113" s="205">
        <f t="shared" si="156"/>
        <v>200.7</v>
      </c>
      <c r="Z113" s="205">
        <f t="shared" si="157"/>
        <v>-139.25</v>
      </c>
      <c r="AA113" s="209"/>
      <c r="AB113" s="205">
        <f t="shared" si="158"/>
        <v>139.25</v>
      </c>
      <c r="AC113" s="205">
        <f t="shared" si="159"/>
        <v>0</v>
      </c>
      <c r="AD113" s="205">
        <v>0</v>
      </c>
      <c r="AE113" s="206">
        <v>0</v>
      </c>
      <c r="AF113" s="206">
        <v>0</v>
      </c>
      <c r="AG113" s="281">
        <v>0</v>
      </c>
      <c r="AH113" s="205">
        <f t="shared" si="160"/>
        <v>0</v>
      </c>
      <c r="AI113" s="205">
        <f t="shared" si="161"/>
        <v>1321.25</v>
      </c>
      <c r="AJ113" s="205"/>
      <c r="AK113" s="255"/>
    </row>
    <row r="114" spans="1:38" ht="21.75" customHeight="1" x14ac:dyDescent="0.25">
      <c r="B114" s="171">
        <v>82</v>
      </c>
      <c r="C114" s="161" t="s">
        <v>474</v>
      </c>
      <c r="D114" s="191" t="s">
        <v>252</v>
      </c>
      <c r="E114" s="176"/>
      <c r="F114" s="191">
        <v>15</v>
      </c>
      <c r="G114" s="204">
        <v>100</v>
      </c>
      <c r="H114" s="205">
        <f t="shared" si="147"/>
        <v>1500</v>
      </c>
      <c r="I114" s="206">
        <v>0</v>
      </c>
      <c r="J114" s="206">
        <v>0</v>
      </c>
      <c r="K114" s="206">
        <v>0</v>
      </c>
      <c r="L114" s="206">
        <v>0</v>
      </c>
      <c r="M114" s="206">
        <v>0</v>
      </c>
      <c r="N114" s="206">
        <v>0</v>
      </c>
      <c r="O114" s="205">
        <f t="shared" si="148"/>
        <v>1500</v>
      </c>
      <c r="P114" s="207"/>
      <c r="Q114" s="205">
        <f t="shared" si="162"/>
        <v>0</v>
      </c>
      <c r="R114" s="205">
        <f t="shared" si="149"/>
        <v>1500</v>
      </c>
      <c r="S114" s="205">
        <f t="shared" si="150"/>
        <v>318.01</v>
      </c>
      <c r="T114" s="205">
        <f t="shared" si="151"/>
        <v>1181.99</v>
      </c>
      <c r="U114" s="208">
        <f t="shared" si="152"/>
        <v>6.4000000000000001E-2</v>
      </c>
      <c r="V114" s="205">
        <f t="shared" si="153"/>
        <v>75.647360000000006</v>
      </c>
      <c r="W114" s="205">
        <f t="shared" si="154"/>
        <v>6.15</v>
      </c>
      <c r="X114" s="205">
        <f t="shared" si="155"/>
        <v>81.797360000000012</v>
      </c>
      <c r="Y114" s="205">
        <f t="shared" si="156"/>
        <v>200.7</v>
      </c>
      <c r="Z114" s="205">
        <f t="shared" si="157"/>
        <v>-118.9</v>
      </c>
      <c r="AA114" s="209"/>
      <c r="AB114" s="205">
        <f t="shared" si="158"/>
        <v>118.9</v>
      </c>
      <c r="AC114" s="205">
        <f t="shared" si="159"/>
        <v>0</v>
      </c>
      <c r="AD114" s="205">
        <v>0</v>
      </c>
      <c r="AE114" s="206">
        <v>0</v>
      </c>
      <c r="AF114" s="206">
        <v>0</v>
      </c>
      <c r="AG114" s="281">
        <v>0</v>
      </c>
      <c r="AH114" s="205">
        <f t="shared" si="160"/>
        <v>0</v>
      </c>
      <c r="AI114" s="205">
        <f t="shared" si="161"/>
        <v>1618.9</v>
      </c>
      <c r="AJ114" s="205"/>
      <c r="AK114" s="255"/>
    </row>
    <row r="115" spans="1:38" ht="21.75" customHeight="1" x14ac:dyDescent="0.25">
      <c r="B115" s="171">
        <v>84</v>
      </c>
      <c r="C115" s="161" t="s">
        <v>501</v>
      </c>
      <c r="D115" s="191" t="s">
        <v>148</v>
      </c>
      <c r="E115" s="176"/>
      <c r="F115" s="191">
        <v>15</v>
      </c>
      <c r="G115" s="204">
        <v>170.73</v>
      </c>
      <c r="H115" s="205">
        <f t="shared" si="147"/>
        <v>2560.9499999999998</v>
      </c>
      <c r="I115" s="206">
        <v>0</v>
      </c>
      <c r="J115" s="206">
        <v>0</v>
      </c>
      <c r="K115" s="206">
        <v>0</v>
      </c>
      <c r="L115" s="206">
        <v>0</v>
      </c>
      <c r="M115" s="206">
        <v>0</v>
      </c>
      <c r="N115" s="206">
        <v>0</v>
      </c>
      <c r="O115" s="205">
        <f t="shared" si="148"/>
        <v>2560.9499999999998</v>
      </c>
      <c r="P115" s="207"/>
      <c r="Q115" s="205">
        <f t="shared" si="162"/>
        <v>0</v>
      </c>
      <c r="R115" s="205">
        <f t="shared" si="149"/>
        <v>2560.9499999999998</v>
      </c>
      <c r="S115" s="205">
        <f t="shared" si="150"/>
        <v>318.01</v>
      </c>
      <c r="T115" s="205">
        <f t="shared" si="151"/>
        <v>2242.9399999999996</v>
      </c>
      <c r="U115" s="208">
        <f t="shared" si="152"/>
        <v>6.4000000000000001E-2</v>
      </c>
      <c r="V115" s="205">
        <f t="shared" si="153"/>
        <v>143.54815999999997</v>
      </c>
      <c r="W115" s="205">
        <f t="shared" si="154"/>
        <v>6.15</v>
      </c>
      <c r="X115" s="205">
        <f t="shared" si="155"/>
        <v>149.69815999999997</v>
      </c>
      <c r="Y115" s="205">
        <f t="shared" si="156"/>
        <v>160.35</v>
      </c>
      <c r="Z115" s="205">
        <f t="shared" si="157"/>
        <v>-10.65</v>
      </c>
      <c r="AA115" s="209"/>
      <c r="AB115" s="205">
        <f t="shared" si="158"/>
        <v>10.65</v>
      </c>
      <c r="AC115" s="205">
        <f t="shared" si="159"/>
        <v>0</v>
      </c>
      <c r="AD115" s="205">
        <v>0</v>
      </c>
      <c r="AE115" s="206">
        <v>0</v>
      </c>
      <c r="AF115" s="206">
        <v>0</v>
      </c>
      <c r="AG115" s="281">
        <v>0</v>
      </c>
      <c r="AH115" s="205">
        <f t="shared" si="160"/>
        <v>0</v>
      </c>
      <c r="AI115" s="205">
        <f t="shared" si="161"/>
        <v>2571.6</v>
      </c>
      <c r="AJ115" s="205"/>
      <c r="AK115" s="255"/>
    </row>
    <row r="116" spans="1:38" ht="21.75" customHeight="1" x14ac:dyDescent="0.25">
      <c r="B116" s="171">
        <v>85</v>
      </c>
      <c r="C116" s="161" t="s">
        <v>384</v>
      </c>
      <c r="D116" s="191" t="s">
        <v>148</v>
      </c>
      <c r="E116" s="176"/>
      <c r="F116" s="191">
        <v>15</v>
      </c>
      <c r="G116" s="204">
        <v>170.73</v>
      </c>
      <c r="H116" s="205">
        <f t="shared" si="147"/>
        <v>2560.9499999999998</v>
      </c>
      <c r="I116" s="206">
        <v>0</v>
      </c>
      <c r="J116" s="206">
        <v>0</v>
      </c>
      <c r="K116" s="206">
        <v>0</v>
      </c>
      <c r="L116" s="206">
        <v>0</v>
      </c>
      <c r="M116" s="206">
        <v>0</v>
      </c>
      <c r="N116" s="206">
        <v>0</v>
      </c>
      <c r="O116" s="205">
        <f t="shared" si="148"/>
        <v>2560.9499999999998</v>
      </c>
      <c r="P116" s="207"/>
      <c r="Q116" s="205">
        <f t="shared" si="162"/>
        <v>0</v>
      </c>
      <c r="R116" s="205">
        <f t="shared" si="149"/>
        <v>2560.9499999999998</v>
      </c>
      <c r="S116" s="205">
        <f t="shared" si="150"/>
        <v>318.01</v>
      </c>
      <c r="T116" s="205">
        <f t="shared" si="151"/>
        <v>2242.9399999999996</v>
      </c>
      <c r="U116" s="208">
        <f t="shared" si="152"/>
        <v>6.4000000000000001E-2</v>
      </c>
      <c r="V116" s="205">
        <f t="shared" si="153"/>
        <v>143.54815999999997</v>
      </c>
      <c r="W116" s="205">
        <f t="shared" si="154"/>
        <v>6.15</v>
      </c>
      <c r="X116" s="205">
        <f t="shared" si="155"/>
        <v>149.69815999999997</v>
      </c>
      <c r="Y116" s="205">
        <f t="shared" si="156"/>
        <v>160.35</v>
      </c>
      <c r="Z116" s="205">
        <f t="shared" si="157"/>
        <v>-10.65</v>
      </c>
      <c r="AA116" s="209"/>
      <c r="AB116" s="205">
        <f t="shared" si="158"/>
        <v>10.65</v>
      </c>
      <c r="AC116" s="205">
        <f t="shared" si="159"/>
        <v>0</v>
      </c>
      <c r="AD116" s="205">
        <v>0</v>
      </c>
      <c r="AE116" s="206">
        <v>0</v>
      </c>
      <c r="AF116" s="206">
        <v>0</v>
      </c>
      <c r="AG116" s="281">
        <v>0</v>
      </c>
      <c r="AH116" s="205">
        <f t="shared" si="160"/>
        <v>0</v>
      </c>
      <c r="AI116" s="205">
        <f t="shared" si="161"/>
        <v>2571.6</v>
      </c>
      <c r="AJ116" s="205"/>
      <c r="AK116" s="255"/>
    </row>
    <row r="117" spans="1:38" ht="21.75" customHeight="1" x14ac:dyDescent="0.25">
      <c r="B117" s="171">
        <v>86</v>
      </c>
      <c r="C117" s="161" t="s">
        <v>513</v>
      </c>
      <c r="D117" s="191" t="s">
        <v>152</v>
      </c>
      <c r="E117" s="176"/>
      <c r="F117" s="191">
        <v>15</v>
      </c>
      <c r="G117" s="204">
        <v>100</v>
      </c>
      <c r="H117" s="205">
        <f t="shared" si="147"/>
        <v>1500</v>
      </c>
      <c r="I117" s="206">
        <v>0</v>
      </c>
      <c r="J117" s="206">
        <v>0</v>
      </c>
      <c r="K117" s="206">
        <v>0</v>
      </c>
      <c r="L117" s="206">
        <v>0</v>
      </c>
      <c r="M117" s="206">
        <v>0</v>
      </c>
      <c r="N117" s="206">
        <v>0</v>
      </c>
      <c r="O117" s="205">
        <f t="shared" si="148"/>
        <v>1500</v>
      </c>
      <c r="P117" s="207"/>
      <c r="Q117" s="205">
        <f t="shared" si="162"/>
        <v>0</v>
      </c>
      <c r="R117" s="205">
        <f t="shared" si="149"/>
        <v>1500</v>
      </c>
      <c r="S117" s="205">
        <f t="shared" si="150"/>
        <v>318.01</v>
      </c>
      <c r="T117" s="205">
        <f t="shared" si="151"/>
        <v>1181.99</v>
      </c>
      <c r="U117" s="208">
        <f t="shared" si="152"/>
        <v>6.4000000000000001E-2</v>
      </c>
      <c r="V117" s="205">
        <f t="shared" si="153"/>
        <v>75.647360000000006</v>
      </c>
      <c r="W117" s="205">
        <f t="shared" si="154"/>
        <v>6.15</v>
      </c>
      <c r="X117" s="205">
        <f t="shared" si="155"/>
        <v>81.797360000000012</v>
      </c>
      <c r="Y117" s="205">
        <f t="shared" si="156"/>
        <v>200.7</v>
      </c>
      <c r="Z117" s="205">
        <f t="shared" si="157"/>
        <v>-118.9</v>
      </c>
      <c r="AA117" s="209"/>
      <c r="AB117" s="205">
        <f t="shared" si="158"/>
        <v>118.9</v>
      </c>
      <c r="AC117" s="205">
        <f t="shared" si="159"/>
        <v>0</v>
      </c>
      <c r="AD117" s="205">
        <v>0</v>
      </c>
      <c r="AE117" s="206">
        <v>0</v>
      </c>
      <c r="AF117" s="206">
        <v>0</v>
      </c>
      <c r="AG117" s="281">
        <v>0</v>
      </c>
      <c r="AH117" s="205">
        <f t="shared" si="160"/>
        <v>0</v>
      </c>
      <c r="AI117" s="205">
        <f t="shared" si="161"/>
        <v>1618.9</v>
      </c>
      <c r="AJ117" s="205"/>
      <c r="AK117" s="255"/>
    </row>
    <row r="118" spans="1:38" ht="28.5" customHeight="1" x14ac:dyDescent="0.25">
      <c r="B118" s="171">
        <v>87</v>
      </c>
      <c r="C118" s="161" t="s">
        <v>403</v>
      </c>
      <c r="D118" s="191" t="s">
        <v>152</v>
      </c>
      <c r="E118" s="176"/>
      <c r="F118" s="191">
        <v>15</v>
      </c>
      <c r="G118" s="204">
        <v>100</v>
      </c>
      <c r="H118" s="205">
        <f t="shared" si="147"/>
        <v>1500</v>
      </c>
      <c r="I118" s="206">
        <v>0</v>
      </c>
      <c r="J118" s="206">
        <v>0</v>
      </c>
      <c r="K118" s="206">
        <v>0</v>
      </c>
      <c r="L118" s="206">
        <v>0</v>
      </c>
      <c r="M118" s="206">
        <v>0</v>
      </c>
      <c r="N118" s="206">
        <v>0</v>
      </c>
      <c r="O118" s="205">
        <f t="shared" si="148"/>
        <v>1500</v>
      </c>
      <c r="P118" s="207"/>
      <c r="Q118" s="205">
        <f t="shared" si="162"/>
        <v>0</v>
      </c>
      <c r="R118" s="205">
        <f t="shared" si="149"/>
        <v>1500</v>
      </c>
      <c r="S118" s="205">
        <f t="shared" si="150"/>
        <v>318.01</v>
      </c>
      <c r="T118" s="205">
        <f t="shared" si="151"/>
        <v>1181.99</v>
      </c>
      <c r="U118" s="208">
        <f t="shared" si="152"/>
        <v>6.4000000000000001E-2</v>
      </c>
      <c r="V118" s="205">
        <f t="shared" si="153"/>
        <v>75.647360000000006</v>
      </c>
      <c r="W118" s="205">
        <f t="shared" si="154"/>
        <v>6.15</v>
      </c>
      <c r="X118" s="205">
        <f t="shared" si="155"/>
        <v>81.797360000000012</v>
      </c>
      <c r="Y118" s="205">
        <f t="shared" si="156"/>
        <v>200.7</v>
      </c>
      <c r="Z118" s="205">
        <f t="shared" si="157"/>
        <v>-118.9</v>
      </c>
      <c r="AA118" s="209"/>
      <c r="AB118" s="205">
        <f>-IF(Z118&gt;0,0,Z118)</f>
        <v>118.9</v>
      </c>
      <c r="AC118" s="205">
        <f t="shared" si="159"/>
        <v>0</v>
      </c>
      <c r="AD118" s="205">
        <v>0</v>
      </c>
      <c r="AE118" s="206">
        <v>0</v>
      </c>
      <c r="AF118" s="206">
        <v>0</v>
      </c>
      <c r="AG118" s="281">
        <v>0</v>
      </c>
      <c r="AH118" s="205">
        <f t="shared" si="160"/>
        <v>0</v>
      </c>
      <c r="AI118" s="205">
        <f t="shared" si="161"/>
        <v>1618.9</v>
      </c>
      <c r="AJ118" s="205"/>
      <c r="AK118" s="255"/>
    </row>
    <row r="119" spans="1:38" ht="21" customHeight="1" x14ac:dyDescent="0.25">
      <c r="B119" s="171">
        <v>88</v>
      </c>
      <c r="C119" s="161" t="s">
        <v>475</v>
      </c>
      <c r="D119" s="191" t="s">
        <v>152</v>
      </c>
      <c r="E119" s="176"/>
      <c r="F119" s="191">
        <v>15</v>
      </c>
      <c r="G119" s="204">
        <v>80</v>
      </c>
      <c r="H119" s="205">
        <f t="shared" si="147"/>
        <v>1200</v>
      </c>
      <c r="I119" s="206">
        <v>0</v>
      </c>
      <c r="J119" s="206">
        <v>0</v>
      </c>
      <c r="K119" s="206">
        <v>0</v>
      </c>
      <c r="L119" s="206">
        <v>0</v>
      </c>
      <c r="M119" s="206">
        <v>0</v>
      </c>
      <c r="N119" s="206">
        <v>0</v>
      </c>
      <c r="O119" s="205">
        <f t="shared" si="148"/>
        <v>1200</v>
      </c>
      <c r="P119" s="207"/>
      <c r="Q119" s="205">
        <f t="shared" si="162"/>
        <v>0</v>
      </c>
      <c r="R119" s="205">
        <f t="shared" si="149"/>
        <v>1200</v>
      </c>
      <c r="S119" s="205">
        <f t="shared" si="150"/>
        <v>318.01</v>
      </c>
      <c r="T119" s="205">
        <f t="shared" si="151"/>
        <v>881.99</v>
      </c>
      <c r="U119" s="208">
        <f t="shared" si="152"/>
        <v>6.4000000000000001E-2</v>
      </c>
      <c r="V119" s="205">
        <f t="shared" si="153"/>
        <v>56.447360000000003</v>
      </c>
      <c r="W119" s="205">
        <f t="shared" si="154"/>
        <v>6.15</v>
      </c>
      <c r="X119" s="205">
        <f t="shared" si="155"/>
        <v>62.597360000000002</v>
      </c>
      <c r="Y119" s="205">
        <f t="shared" si="156"/>
        <v>200.7</v>
      </c>
      <c r="Z119" s="205">
        <f t="shared" si="157"/>
        <v>-138.1</v>
      </c>
      <c r="AA119" s="209"/>
      <c r="AB119" s="205">
        <f t="shared" si="158"/>
        <v>138.1</v>
      </c>
      <c r="AC119" s="205">
        <f t="shared" si="159"/>
        <v>0</v>
      </c>
      <c r="AD119" s="205">
        <v>0</v>
      </c>
      <c r="AE119" s="206">
        <v>0</v>
      </c>
      <c r="AF119" s="206">
        <v>0</v>
      </c>
      <c r="AG119" s="281">
        <v>0</v>
      </c>
      <c r="AH119" s="205">
        <f t="shared" si="160"/>
        <v>0</v>
      </c>
      <c r="AI119" s="205">
        <f t="shared" si="161"/>
        <v>1338.1</v>
      </c>
      <c r="AJ119" s="205"/>
      <c r="AK119" s="255"/>
    </row>
    <row r="120" spans="1:38" ht="22.5" customHeight="1" x14ac:dyDescent="0.25">
      <c r="B120" s="171">
        <v>89</v>
      </c>
      <c r="C120" s="161" t="s">
        <v>463</v>
      </c>
      <c r="D120" s="191" t="s">
        <v>135</v>
      </c>
      <c r="E120" s="176"/>
      <c r="F120" s="191">
        <v>15</v>
      </c>
      <c r="G120" s="204">
        <v>212.33</v>
      </c>
      <c r="H120" s="205">
        <f t="shared" si="147"/>
        <v>3184.9500000000003</v>
      </c>
      <c r="I120" s="206">
        <v>0</v>
      </c>
      <c r="J120" s="206">
        <v>0</v>
      </c>
      <c r="K120" s="206">
        <v>0</v>
      </c>
      <c r="L120" s="206">
        <v>0</v>
      </c>
      <c r="M120" s="206">
        <v>0</v>
      </c>
      <c r="N120" s="206">
        <v>0</v>
      </c>
      <c r="O120" s="205">
        <f t="shared" si="148"/>
        <v>3184.9500000000003</v>
      </c>
      <c r="P120" s="207"/>
      <c r="Q120" s="205">
        <f t="shared" si="162"/>
        <v>0</v>
      </c>
      <c r="R120" s="205">
        <f t="shared" si="149"/>
        <v>3184.9500000000003</v>
      </c>
      <c r="S120" s="205">
        <f t="shared" si="150"/>
        <v>2699.41</v>
      </c>
      <c r="T120" s="205">
        <f t="shared" si="151"/>
        <v>485.54000000000042</v>
      </c>
      <c r="U120" s="208">
        <f t="shared" si="152"/>
        <v>0.10879999999999999</v>
      </c>
      <c r="V120" s="205">
        <f t="shared" si="153"/>
        <v>52.826752000000042</v>
      </c>
      <c r="W120" s="205">
        <f t="shared" si="154"/>
        <v>158.55000000000001</v>
      </c>
      <c r="X120" s="205">
        <f t="shared" si="155"/>
        <v>211.37675200000007</v>
      </c>
      <c r="Y120" s="205">
        <f t="shared" si="156"/>
        <v>125.1</v>
      </c>
      <c r="Z120" s="205">
        <f t="shared" si="157"/>
        <v>86.28</v>
      </c>
      <c r="AA120" s="209"/>
      <c r="AB120" s="205">
        <f t="shared" si="158"/>
        <v>0</v>
      </c>
      <c r="AC120" s="205">
        <f t="shared" si="159"/>
        <v>86.28</v>
      </c>
      <c r="AD120" s="205">
        <v>0</v>
      </c>
      <c r="AE120" s="206">
        <v>0</v>
      </c>
      <c r="AF120" s="206">
        <v>0</v>
      </c>
      <c r="AG120" s="281">
        <v>0</v>
      </c>
      <c r="AH120" s="205">
        <f t="shared" si="160"/>
        <v>86.28</v>
      </c>
      <c r="AI120" s="205">
        <f t="shared" si="161"/>
        <v>3098.67</v>
      </c>
      <c r="AJ120" s="205"/>
      <c r="AK120" s="255"/>
    </row>
    <row r="121" spans="1:38" ht="21" customHeight="1" x14ac:dyDescent="0.25">
      <c r="B121" s="171">
        <v>90</v>
      </c>
      <c r="C121" s="161" t="s">
        <v>485</v>
      </c>
      <c r="D121" s="191" t="s">
        <v>159</v>
      </c>
      <c r="E121" s="176"/>
      <c r="F121" s="191">
        <v>15</v>
      </c>
      <c r="G121" s="204">
        <v>124.73</v>
      </c>
      <c r="H121" s="205">
        <f t="shared" si="147"/>
        <v>1870.95</v>
      </c>
      <c r="I121" s="206">
        <v>0</v>
      </c>
      <c r="J121" s="206">
        <v>0</v>
      </c>
      <c r="K121" s="206">
        <v>0</v>
      </c>
      <c r="L121" s="206">
        <v>0</v>
      </c>
      <c r="M121" s="206">
        <v>0</v>
      </c>
      <c r="N121" s="206">
        <v>0</v>
      </c>
      <c r="O121" s="205">
        <f t="shared" si="148"/>
        <v>1870.95</v>
      </c>
      <c r="P121" s="207"/>
      <c r="Q121" s="205">
        <f t="shared" si="162"/>
        <v>0</v>
      </c>
      <c r="R121" s="205">
        <f t="shared" si="149"/>
        <v>1870.95</v>
      </c>
      <c r="S121" s="205">
        <f t="shared" si="150"/>
        <v>318.01</v>
      </c>
      <c r="T121" s="205">
        <f t="shared" si="151"/>
        <v>1552.94</v>
      </c>
      <c r="U121" s="208">
        <f t="shared" si="152"/>
        <v>6.4000000000000001E-2</v>
      </c>
      <c r="V121" s="205">
        <f t="shared" si="153"/>
        <v>99.388159999999999</v>
      </c>
      <c r="W121" s="205">
        <f t="shared" si="154"/>
        <v>6.15</v>
      </c>
      <c r="X121" s="205">
        <f t="shared" si="155"/>
        <v>105.53816</v>
      </c>
      <c r="Y121" s="205">
        <f t="shared" si="156"/>
        <v>188.7</v>
      </c>
      <c r="Z121" s="205">
        <f t="shared" si="157"/>
        <v>-83.16</v>
      </c>
      <c r="AA121" s="209"/>
      <c r="AB121" s="205">
        <f t="shared" si="158"/>
        <v>83.16</v>
      </c>
      <c r="AC121" s="205">
        <f t="shared" si="159"/>
        <v>0</v>
      </c>
      <c r="AD121" s="205">
        <v>0</v>
      </c>
      <c r="AE121" s="206">
        <v>0</v>
      </c>
      <c r="AF121" s="206">
        <v>0</v>
      </c>
      <c r="AG121" s="281">
        <v>0</v>
      </c>
      <c r="AH121" s="205">
        <f t="shared" si="160"/>
        <v>0</v>
      </c>
      <c r="AI121" s="205">
        <f t="shared" si="161"/>
        <v>1954.1100000000001</v>
      </c>
      <c r="AJ121" s="205"/>
      <c r="AK121" s="255"/>
    </row>
    <row r="122" spans="1:38" ht="21" customHeight="1" x14ac:dyDescent="0.25">
      <c r="B122" s="171">
        <v>91</v>
      </c>
      <c r="C122" s="161" t="s">
        <v>401</v>
      </c>
      <c r="D122" s="191" t="s">
        <v>158</v>
      </c>
      <c r="E122" s="176"/>
      <c r="F122" s="191">
        <v>15</v>
      </c>
      <c r="G122" s="204">
        <v>212.33</v>
      </c>
      <c r="H122" s="205">
        <f t="shared" si="147"/>
        <v>3184.9500000000003</v>
      </c>
      <c r="I122" s="206">
        <v>0</v>
      </c>
      <c r="J122" s="206">
        <v>0</v>
      </c>
      <c r="K122" s="206">
        <v>0</v>
      </c>
      <c r="L122" s="206">
        <v>0</v>
      </c>
      <c r="M122" s="206">
        <v>0</v>
      </c>
      <c r="N122" s="206">
        <v>0</v>
      </c>
      <c r="O122" s="205">
        <f t="shared" si="148"/>
        <v>3184.9500000000003</v>
      </c>
      <c r="P122" s="207"/>
      <c r="Q122" s="205">
        <f t="shared" si="162"/>
        <v>0</v>
      </c>
      <c r="R122" s="205">
        <f t="shared" si="149"/>
        <v>3184.9500000000003</v>
      </c>
      <c r="S122" s="205">
        <f t="shared" si="150"/>
        <v>2699.41</v>
      </c>
      <c r="T122" s="205">
        <f t="shared" si="151"/>
        <v>485.54000000000042</v>
      </c>
      <c r="U122" s="208">
        <f t="shared" si="152"/>
        <v>0.10879999999999999</v>
      </c>
      <c r="V122" s="205">
        <f t="shared" si="153"/>
        <v>52.826752000000042</v>
      </c>
      <c r="W122" s="205">
        <f t="shared" si="154"/>
        <v>158.55000000000001</v>
      </c>
      <c r="X122" s="205">
        <f t="shared" si="155"/>
        <v>211.37675200000007</v>
      </c>
      <c r="Y122" s="205">
        <f t="shared" si="156"/>
        <v>125.1</v>
      </c>
      <c r="Z122" s="205">
        <f t="shared" si="157"/>
        <v>86.28</v>
      </c>
      <c r="AA122" s="209"/>
      <c r="AB122" s="205">
        <f t="shared" si="158"/>
        <v>0</v>
      </c>
      <c r="AC122" s="205">
        <f t="shared" si="159"/>
        <v>86.28</v>
      </c>
      <c r="AD122" s="205">
        <v>0</v>
      </c>
      <c r="AE122" s="206">
        <v>0</v>
      </c>
      <c r="AF122" s="206">
        <v>0</v>
      </c>
      <c r="AG122" s="281">
        <v>0</v>
      </c>
      <c r="AH122" s="205">
        <f t="shared" si="160"/>
        <v>86.28</v>
      </c>
      <c r="AI122" s="205">
        <f t="shared" si="161"/>
        <v>3098.67</v>
      </c>
      <c r="AJ122" s="205"/>
      <c r="AK122" s="255"/>
    </row>
    <row r="123" spans="1:38" ht="21" customHeight="1" x14ac:dyDescent="0.25">
      <c r="B123" s="171">
        <v>92</v>
      </c>
      <c r="C123" s="161" t="s">
        <v>478</v>
      </c>
      <c r="D123" s="191" t="s">
        <v>158</v>
      </c>
      <c r="E123" s="176"/>
      <c r="F123" s="191">
        <v>15</v>
      </c>
      <c r="G123" s="204">
        <v>100</v>
      </c>
      <c r="H123" s="205">
        <f t="shared" si="147"/>
        <v>1500</v>
      </c>
      <c r="I123" s="206">
        <v>0</v>
      </c>
      <c r="J123" s="206">
        <v>0</v>
      </c>
      <c r="K123" s="206">
        <v>0</v>
      </c>
      <c r="L123" s="206">
        <v>0</v>
      </c>
      <c r="M123" s="206">
        <v>0</v>
      </c>
      <c r="N123" s="206">
        <v>0</v>
      </c>
      <c r="O123" s="205">
        <f t="shared" si="148"/>
        <v>1500</v>
      </c>
      <c r="P123" s="207"/>
      <c r="Q123" s="205">
        <f t="shared" si="162"/>
        <v>0</v>
      </c>
      <c r="R123" s="205">
        <f t="shared" si="149"/>
        <v>1500</v>
      </c>
      <c r="S123" s="205">
        <f t="shared" si="150"/>
        <v>318.01</v>
      </c>
      <c r="T123" s="205">
        <f t="shared" si="151"/>
        <v>1181.99</v>
      </c>
      <c r="U123" s="208">
        <f t="shared" si="152"/>
        <v>6.4000000000000001E-2</v>
      </c>
      <c r="V123" s="205">
        <f t="shared" si="153"/>
        <v>75.647360000000006</v>
      </c>
      <c r="W123" s="205">
        <f t="shared" si="154"/>
        <v>6.15</v>
      </c>
      <c r="X123" s="205">
        <f t="shared" si="155"/>
        <v>81.797360000000012</v>
      </c>
      <c r="Y123" s="205">
        <f t="shared" si="156"/>
        <v>200.7</v>
      </c>
      <c r="Z123" s="205">
        <f t="shared" si="157"/>
        <v>-118.9</v>
      </c>
      <c r="AA123" s="209"/>
      <c r="AB123" s="205">
        <f t="shared" si="158"/>
        <v>118.9</v>
      </c>
      <c r="AC123" s="205">
        <f t="shared" si="159"/>
        <v>0</v>
      </c>
      <c r="AD123" s="205">
        <v>0</v>
      </c>
      <c r="AE123" s="205">
        <v>0</v>
      </c>
      <c r="AF123" s="205">
        <v>0</v>
      </c>
      <c r="AG123" s="281">
        <v>0</v>
      </c>
      <c r="AH123" s="205">
        <f t="shared" si="160"/>
        <v>0</v>
      </c>
      <c r="AI123" s="205">
        <f t="shared" si="161"/>
        <v>1618.9</v>
      </c>
      <c r="AJ123" s="205"/>
      <c r="AK123" s="255"/>
    </row>
    <row r="124" spans="1:38" s="99" customFormat="1" ht="24" customHeight="1" x14ac:dyDescent="0.25">
      <c r="A124" s="100"/>
      <c r="B124" s="171">
        <v>93</v>
      </c>
      <c r="C124" s="161" t="s">
        <v>389</v>
      </c>
      <c r="D124" s="191" t="s">
        <v>115</v>
      </c>
      <c r="E124" s="176"/>
      <c r="F124" s="191">
        <v>15</v>
      </c>
      <c r="G124" s="204">
        <v>133.33000000000001</v>
      </c>
      <c r="H124" s="205">
        <f t="shared" si="147"/>
        <v>1999.9500000000003</v>
      </c>
      <c r="I124" s="206">
        <v>0</v>
      </c>
      <c r="J124" s="206">
        <v>0</v>
      </c>
      <c r="K124" s="206">
        <v>0</v>
      </c>
      <c r="L124" s="206">
        <v>0</v>
      </c>
      <c r="M124" s="206">
        <v>0</v>
      </c>
      <c r="N124" s="206">
        <v>0</v>
      </c>
      <c r="O124" s="205">
        <f t="shared" si="148"/>
        <v>1999.9500000000003</v>
      </c>
      <c r="P124" s="207"/>
      <c r="Q124" s="205">
        <f t="shared" si="162"/>
        <v>0</v>
      </c>
      <c r="R124" s="205">
        <f t="shared" si="149"/>
        <v>1999.9500000000003</v>
      </c>
      <c r="S124" s="205">
        <f t="shared" si="150"/>
        <v>318.01</v>
      </c>
      <c r="T124" s="205">
        <f t="shared" si="151"/>
        <v>1681.9400000000003</v>
      </c>
      <c r="U124" s="208">
        <f t="shared" si="152"/>
        <v>6.4000000000000001E-2</v>
      </c>
      <c r="V124" s="205">
        <f t="shared" si="153"/>
        <v>107.64416000000001</v>
      </c>
      <c r="W124" s="205">
        <f t="shared" si="154"/>
        <v>6.15</v>
      </c>
      <c r="X124" s="205">
        <f t="shared" si="155"/>
        <v>113.79416000000002</v>
      </c>
      <c r="Y124" s="205">
        <f t="shared" si="156"/>
        <v>188.7</v>
      </c>
      <c r="Z124" s="205">
        <f t="shared" si="157"/>
        <v>-74.91</v>
      </c>
      <c r="AA124" s="209"/>
      <c r="AB124" s="205">
        <f t="shared" si="158"/>
        <v>74.91</v>
      </c>
      <c r="AC124" s="205">
        <f t="shared" si="159"/>
        <v>0</v>
      </c>
      <c r="AD124" s="205">
        <v>0</v>
      </c>
      <c r="AE124" s="205">
        <v>0</v>
      </c>
      <c r="AF124" s="205">
        <v>0</v>
      </c>
      <c r="AG124" s="281">
        <v>0</v>
      </c>
      <c r="AH124" s="205">
        <f t="shared" si="160"/>
        <v>0</v>
      </c>
      <c r="AI124" s="205">
        <f t="shared" si="161"/>
        <v>2074.86</v>
      </c>
      <c r="AJ124" s="205"/>
      <c r="AK124" s="256"/>
    </row>
    <row r="125" spans="1:38" s="99" customFormat="1" ht="24" customHeight="1" x14ac:dyDescent="0.25">
      <c r="A125" s="100"/>
      <c r="B125" s="171">
        <v>94</v>
      </c>
      <c r="C125" s="161" t="s">
        <v>385</v>
      </c>
      <c r="D125" s="191" t="s">
        <v>253</v>
      </c>
      <c r="E125" s="176"/>
      <c r="F125" s="191">
        <v>15</v>
      </c>
      <c r="G125" s="204">
        <v>128.47</v>
      </c>
      <c r="H125" s="205">
        <f t="shared" si="147"/>
        <v>1927.05</v>
      </c>
      <c r="I125" s="206">
        <v>0</v>
      </c>
      <c r="J125" s="206">
        <v>0</v>
      </c>
      <c r="K125" s="206">
        <v>0</v>
      </c>
      <c r="L125" s="206">
        <v>0</v>
      </c>
      <c r="M125" s="206">
        <v>0</v>
      </c>
      <c r="N125" s="206">
        <v>0</v>
      </c>
      <c r="O125" s="205">
        <f t="shared" si="148"/>
        <v>1927.05</v>
      </c>
      <c r="P125" s="207"/>
      <c r="Q125" s="205">
        <f t="shared" si="162"/>
        <v>0</v>
      </c>
      <c r="R125" s="205">
        <f t="shared" si="149"/>
        <v>1927.05</v>
      </c>
      <c r="S125" s="205">
        <f t="shared" si="150"/>
        <v>318.01</v>
      </c>
      <c r="T125" s="205">
        <f t="shared" si="151"/>
        <v>1609.04</v>
      </c>
      <c r="U125" s="208">
        <f t="shared" si="152"/>
        <v>6.4000000000000001E-2</v>
      </c>
      <c r="V125" s="205">
        <f t="shared" si="153"/>
        <v>102.97856</v>
      </c>
      <c r="W125" s="205">
        <f t="shared" si="154"/>
        <v>6.15</v>
      </c>
      <c r="X125" s="205">
        <f t="shared" si="155"/>
        <v>109.12856000000001</v>
      </c>
      <c r="Y125" s="205">
        <f t="shared" si="156"/>
        <v>188.7</v>
      </c>
      <c r="Z125" s="205">
        <f t="shared" si="157"/>
        <v>-79.569999999999993</v>
      </c>
      <c r="AA125" s="209"/>
      <c r="AB125" s="205">
        <f t="shared" si="158"/>
        <v>79.569999999999993</v>
      </c>
      <c r="AC125" s="205">
        <f t="shared" si="159"/>
        <v>0</v>
      </c>
      <c r="AD125" s="205">
        <v>0</v>
      </c>
      <c r="AE125" s="205">
        <v>0</v>
      </c>
      <c r="AF125" s="205">
        <v>0</v>
      </c>
      <c r="AG125" s="281">
        <v>0</v>
      </c>
      <c r="AH125" s="205">
        <f t="shared" si="160"/>
        <v>0</v>
      </c>
      <c r="AI125" s="205">
        <f t="shared" si="161"/>
        <v>2006.62</v>
      </c>
      <c r="AJ125" s="205"/>
      <c r="AK125" s="256"/>
    </row>
    <row r="126" spans="1:38" s="99" customFormat="1" ht="24" customHeight="1" x14ac:dyDescent="0.25">
      <c r="A126" s="100"/>
      <c r="B126" s="171">
        <v>95</v>
      </c>
      <c r="C126" s="161" t="s">
        <v>451</v>
      </c>
      <c r="D126" s="191" t="s">
        <v>214</v>
      </c>
      <c r="E126" s="176"/>
      <c r="F126" s="191">
        <v>15</v>
      </c>
      <c r="G126" s="204">
        <v>100</v>
      </c>
      <c r="H126" s="205">
        <f t="shared" si="147"/>
        <v>1500</v>
      </c>
      <c r="I126" s="206">
        <v>0</v>
      </c>
      <c r="J126" s="206">
        <v>0</v>
      </c>
      <c r="K126" s="206">
        <v>0</v>
      </c>
      <c r="L126" s="206">
        <v>0</v>
      </c>
      <c r="M126" s="206">
        <v>0</v>
      </c>
      <c r="N126" s="206">
        <v>0</v>
      </c>
      <c r="O126" s="205">
        <f t="shared" si="148"/>
        <v>1500</v>
      </c>
      <c r="P126" s="207"/>
      <c r="Q126" s="205">
        <v>0</v>
      </c>
      <c r="R126" s="205">
        <f t="shared" si="149"/>
        <v>1500</v>
      </c>
      <c r="S126" s="205">
        <f t="shared" si="150"/>
        <v>318.01</v>
      </c>
      <c r="T126" s="205">
        <f t="shared" si="151"/>
        <v>1181.99</v>
      </c>
      <c r="U126" s="208">
        <f t="shared" si="152"/>
        <v>6.4000000000000001E-2</v>
      </c>
      <c r="V126" s="205">
        <f t="shared" si="153"/>
        <v>75.647360000000006</v>
      </c>
      <c r="W126" s="205">
        <f t="shared" si="154"/>
        <v>6.15</v>
      </c>
      <c r="X126" s="205">
        <f t="shared" si="155"/>
        <v>81.797360000000012</v>
      </c>
      <c r="Y126" s="205">
        <f t="shared" si="156"/>
        <v>200.7</v>
      </c>
      <c r="Z126" s="205">
        <f t="shared" si="157"/>
        <v>-118.9</v>
      </c>
      <c r="AA126" s="209"/>
      <c r="AB126" s="205">
        <f t="shared" si="158"/>
        <v>118.9</v>
      </c>
      <c r="AC126" s="205">
        <f t="shared" si="159"/>
        <v>0</v>
      </c>
      <c r="AD126" s="205">
        <v>0</v>
      </c>
      <c r="AE126" s="205">
        <v>0</v>
      </c>
      <c r="AF126" s="205">
        <v>0</v>
      </c>
      <c r="AG126" s="281">
        <v>0</v>
      </c>
      <c r="AH126" s="205">
        <f t="shared" si="160"/>
        <v>0</v>
      </c>
      <c r="AI126" s="205">
        <f t="shared" si="161"/>
        <v>1618.9</v>
      </c>
      <c r="AJ126" s="205"/>
      <c r="AK126" s="256"/>
    </row>
    <row r="127" spans="1:38" ht="21" customHeight="1" x14ac:dyDescent="0.25">
      <c r="B127" s="171"/>
      <c r="C127" s="161"/>
      <c r="D127" s="275" t="s">
        <v>111</v>
      </c>
      <c r="E127" s="443"/>
      <c r="F127" s="444"/>
      <c r="G127" s="445"/>
      <c r="H127" s="280">
        <f t="shared" ref="H127:Z127" si="163">SUM(H111:H126)</f>
        <v>30125.7</v>
      </c>
      <c r="I127" s="280">
        <f t="shared" si="163"/>
        <v>0</v>
      </c>
      <c r="J127" s="205">
        <f t="shared" si="163"/>
        <v>0</v>
      </c>
      <c r="K127" s="280">
        <f t="shared" si="163"/>
        <v>0</v>
      </c>
      <c r="L127" s="205">
        <f t="shared" si="163"/>
        <v>0</v>
      </c>
      <c r="M127" s="280">
        <f t="shared" si="163"/>
        <v>0</v>
      </c>
      <c r="N127" s="205">
        <f t="shared" si="163"/>
        <v>0</v>
      </c>
      <c r="O127" s="280">
        <f t="shared" si="163"/>
        <v>30125.7</v>
      </c>
      <c r="P127" s="280">
        <f t="shared" si="163"/>
        <v>0</v>
      </c>
      <c r="Q127" s="205">
        <f t="shared" si="163"/>
        <v>0</v>
      </c>
      <c r="R127" s="280">
        <f t="shared" si="163"/>
        <v>30125.7</v>
      </c>
      <c r="S127" s="280">
        <f t="shared" si="163"/>
        <v>9850.9600000000009</v>
      </c>
      <c r="T127" s="280">
        <f t="shared" si="163"/>
        <v>20274.740000000002</v>
      </c>
      <c r="U127" s="280">
        <f t="shared" si="163"/>
        <v>1.1136000000000004</v>
      </c>
      <c r="V127" s="280">
        <f t="shared" si="163"/>
        <v>1341.0877440000002</v>
      </c>
      <c r="W127" s="280">
        <f t="shared" si="163"/>
        <v>403.19999999999993</v>
      </c>
      <c r="X127" s="280">
        <f t="shared" si="163"/>
        <v>1744.2877440000004</v>
      </c>
      <c r="Y127" s="280">
        <f t="shared" si="163"/>
        <v>2931.2999999999993</v>
      </c>
      <c r="Z127" s="280">
        <f t="shared" si="163"/>
        <v>-1186.98</v>
      </c>
      <c r="AA127" s="280"/>
      <c r="AB127" s="280">
        <f t="shared" ref="AB127:AI127" si="164">SUM(AB111:AB126)</f>
        <v>1359.54</v>
      </c>
      <c r="AC127" s="280">
        <f t="shared" si="164"/>
        <v>172.56</v>
      </c>
      <c r="AD127" s="280">
        <f t="shared" si="164"/>
        <v>0</v>
      </c>
      <c r="AE127" s="280">
        <f t="shared" si="164"/>
        <v>0</v>
      </c>
      <c r="AF127" s="280">
        <f t="shared" si="164"/>
        <v>0</v>
      </c>
      <c r="AG127" s="280">
        <f t="shared" si="164"/>
        <v>0</v>
      </c>
      <c r="AH127" s="280">
        <f t="shared" si="164"/>
        <v>172.56</v>
      </c>
      <c r="AI127" s="280">
        <f t="shared" si="164"/>
        <v>31312.680000000004</v>
      </c>
      <c r="AJ127" s="171"/>
      <c r="AK127" s="255"/>
      <c r="AL127" s="108">
        <f>O127+AB127-AH127</f>
        <v>31312.68</v>
      </c>
    </row>
    <row r="128" spans="1:38" ht="21" customHeight="1" x14ac:dyDescent="0.25">
      <c r="B128" s="426" t="s">
        <v>134</v>
      </c>
      <c r="C128" s="426"/>
      <c r="D128" s="426"/>
      <c r="E128" s="426"/>
      <c r="F128" s="426"/>
      <c r="G128" s="426"/>
      <c r="H128" s="426"/>
      <c r="I128" s="426"/>
      <c r="J128" s="426"/>
      <c r="K128" s="426"/>
      <c r="L128" s="426"/>
      <c r="M128" s="426"/>
      <c r="N128" s="426"/>
      <c r="O128" s="426"/>
      <c r="P128" s="426"/>
      <c r="Q128" s="426"/>
      <c r="R128" s="426"/>
      <c r="S128" s="426"/>
      <c r="T128" s="426"/>
      <c r="U128" s="426"/>
      <c r="V128" s="426"/>
      <c r="W128" s="426"/>
      <c r="X128" s="426"/>
      <c r="Y128" s="426"/>
      <c r="Z128" s="426"/>
      <c r="AA128" s="426"/>
      <c r="AB128" s="426"/>
      <c r="AC128" s="426"/>
      <c r="AD128" s="426"/>
      <c r="AE128" s="426"/>
      <c r="AF128" s="426"/>
      <c r="AG128" s="426"/>
      <c r="AH128" s="426"/>
      <c r="AI128" s="426"/>
      <c r="AJ128" s="426"/>
      <c r="AK128" s="255"/>
    </row>
    <row r="129" spans="2:38" ht="22.5" customHeight="1" x14ac:dyDescent="0.25">
      <c r="B129" s="171">
        <v>96</v>
      </c>
      <c r="C129" s="161" t="s">
        <v>351</v>
      </c>
      <c r="D129" s="191" t="s">
        <v>192</v>
      </c>
      <c r="E129" s="176"/>
      <c r="F129" s="191">
        <v>15</v>
      </c>
      <c r="G129" s="204">
        <v>67</v>
      </c>
      <c r="H129" s="205">
        <f>F129*G129</f>
        <v>1005</v>
      </c>
      <c r="I129" s="206">
        <v>0</v>
      </c>
      <c r="J129" s="206">
        <v>0</v>
      </c>
      <c r="K129" s="206">
        <v>0</v>
      </c>
      <c r="L129" s="206">
        <v>0</v>
      </c>
      <c r="M129" s="206">
        <v>0</v>
      </c>
      <c r="N129" s="206">
        <v>0</v>
      </c>
      <c r="O129" s="205">
        <f>SUM(H129:N129)</f>
        <v>1005</v>
      </c>
      <c r="P129" s="207"/>
      <c r="Q129" s="205">
        <f>IF(G129=47.16,0,IF(G129&gt;47.16,L129*0.5,0))</f>
        <v>0</v>
      </c>
      <c r="R129" s="205">
        <f>H129+I129+J129+M129+Q129+K129</f>
        <v>1005</v>
      </c>
      <c r="S129" s="205">
        <f t="shared" ref="S129:S134" si="165">VLOOKUP(R129,TARIFA1,1)</f>
        <v>318.01</v>
      </c>
      <c r="T129" s="205">
        <f>R129-S129</f>
        <v>686.99</v>
      </c>
      <c r="U129" s="208">
        <f>VLOOKUP(R129,TARIFA1,3)</f>
        <v>6.4000000000000001E-2</v>
      </c>
      <c r="V129" s="205">
        <f>T129*U129</f>
        <v>43.967359999999999</v>
      </c>
      <c r="W129" s="205">
        <f>VLOOKUP(R129,TARIFA1,2)</f>
        <v>6.15</v>
      </c>
      <c r="X129" s="205">
        <f>V129+W129</f>
        <v>50.117359999999998</v>
      </c>
      <c r="Y129" s="205">
        <f>VLOOKUP(R129,Credito1,2)</f>
        <v>200.7</v>
      </c>
      <c r="Z129" s="205">
        <f>ROUND(X129-Y129,2)</f>
        <v>-150.58000000000001</v>
      </c>
      <c r="AA129" s="209"/>
      <c r="AB129" s="205">
        <f>-IF(Z129&gt;0,0,Z129)</f>
        <v>150.58000000000001</v>
      </c>
      <c r="AC129" s="205">
        <f>IF(Z129&lt;0,0,Z129)</f>
        <v>0</v>
      </c>
      <c r="AD129" s="205">
        <v>0</v>
      </c>
      <c r="AE129" s="205">
        <v>0</v>
      </c>
      <c r="AF129" s="205">
        <v>0</v>
      </c>
      <c r="AG129" s="281">
        <v>0</v>
      </c>
      <c r="AH129" s="205">
        <f>SUM(AC129:AG129)</f>
        <v>0</v>
      </c>
      <c r="AI129" s="205">
        <f>O129+AB129-AH129</f>
        <v>1155.58</v>
      </c>
      <c r="AJ129" s="205"/>
      <c r="AK129" s="255"/>
    </row>
    <row r="130" spans="2:38" ht="21" customHeight="1" x14ac:dyDescent="0.25">
      <c r="B130" s="171">
        <v>97</v>
      </c>
      <c r="C130" s="161" t="s">
        <v>447</v>
      </c>
      <c r="D130" s="191" t="s">
        <v>249</v>
      </c>
      <c r="E130" s="176"/>
      <c r="F130" s="191">
        <v>15</v>
      </c>
      <c r="G130" s="204">
        <v>179.12</v>
      </c>
      <c r="H130" s="205">
        <f>F130*G130</f>
        <v>2686.8</v>
      </c>
      <c r="I130" s="206">
        <v>0</v>
      </c>
      <c r="J130" s="206">
        <v>0</v>
      </c>
      <c r="K130" s="206">
        <v>0</v>
      </c>
      <c r="L130" s="206">
        <v>0</v>
      </c>
      <c r="M130" s="206">
        <v>0</v>
      </c>
      <c r="N130" s="206">
        <v>0</v>
      </c>
      <c r="O130" s="205">
        <f t="shared" ref="O130:O133" si="166">SUM(H130:N130)</f>
        <v>2686.8</v>
      </c>
      <c r="P130" s="207"/>
      <c r="Q130" s="205">
        <v>0</v>
      </c>
      <c r="R130" s="205">
        <f t="shared" ref="R130:R133" si="167">H130+I130+J130+M130+Q130+K130</f>
        <v>2686.8</v>
      </c>
      <c r="S130" s="205">
        <f t="shared" si="165"/>
        <v>318.01</v>
      </c>
      <c r="T130" s="205">
        <f t="shared" ref="T130:T133" si="168">R130-S130</f>
        <v>2368.79</v>
      </c>
      <c r="U130" s="208">
        <f>VLOOKUP(R130,TARIFA1,3)</f>
        <v>6.4000000000000001E-2</v>
      </c>
      <c r="V130" s="205">
        <f t="shared" ref="V130:V133" si="169">T130*U130</f>
        <v>151.60256000000001</v>
      </c>
      <c r="W130" s="205">
        <f>VLOOKUP(R130,TARIFA1,2)</f>
        <v>6.15</v>
      </c>
      <c r="X130" s="205">
        <f t="shared" ref="X130:X133" si="170">V130+W130</f>
        <v>157.75256000000002</v>
      </c>
      <c r="Y130" s="205">
        <f>VLOOKUP(R130,Credito1,2)</f>
        <v>145.35</v>
      </c>
      <c r="Z130" s="205">
        <f t="shared" ref="Z130:Z133" si="171">ROUND(X130-Y130,2)</f>
        <v>12.4</v>
      </c>
      <c r="AA130" s="209"/>
      <c r="AB130" s="205">
        <f t="shared" ref="AB130:AB133" si="172">-IF(Z130&gt;0,0,Z130)</f>
        <v>0</v>
      </c>
      <c r="AC130" s="205">
        <f t="shared" ref="AC130:AC133" si="173">IF(Z130&lt;0,0,Z130)</f>
        <v>12.4</v>
      </c>
      <c r="AD130" s="205">
        <v>0</v>
      </c>
      <c r="AE130" s="205">
        <v>0</v>
      </c>
      <c r="AF130" s="205">
        <v>0</v>
      </c>
      <c r="AG130" s="281">
        <v>0</v>
      </c>
      <c r="AH130" s="205">
        <f t="shared" ref="AH130:AH133" si="174">SUM(AC130:AG130)</f>
        <v>12.4</v>
      </c>
      <c r="AI130" s="205">
        <f t="shared" ref="AI130:AI133" si="175">O130+AB130-AH130</f>
        <v>2674.4</v>
      </c>
      <c r="AJ130" s="205"/>
      <c r="AK130" s="255"/>
    </row>
    <row r="131" spans="2:38" ht="21" customHeight="1" x14ac:dyDescent="0.25">
      <c r="B131" s="171">
        <v>98</v>
      </c>
      <c r="C131" s="161" t="s">
        <v>387</v>
      </c>
      <c r="D131" s="191" t="s">
        <v>135</v>
      </c>
      <c r="E131" s="176"/>
      <c r="F131" s="191">
        <v>15</v>
      </c>
      <c r="G131" s="204">
        <v>133.33000000000001</v>
      </c>
      <c r="H131" s="205">
        <f>F131*G131</f>
        <v>1999.9500000000003</v>
      </c>
      <c r="I131" s="206">
        <v>0</v>
      </c>
      <c r="J131" s="206">
        <v>0</v>
      </c>
      <c r="K131" s="206">
        <v>0</v>
      </c>
      <c r="L131" s="206">
        <v>0</v>
      </c>
      <c r="M131" s="206">
        <v>0</v>
      </c>
      <c r="N131" s="206">
        <v>0</v>
      </c>
      <c r="O131" s="205">
        <f t="shared" si="166"/>
        <v>1999.9500000000003</v>
      </c>
      <c r="P131" s="207"/>
      <c r="Q131" s="205">
        <v>0</v>
      </c>
      <c r="R131" s="205">
        <f t="shared" si="167"/>
        <v>1999.9500000000003</v>
      </c>
      <c r="S131" s="205">
        <f t="shared" si="165"/>
        <v>318.01</v>
      </c>
      <c r="T131" s="205">
        <f t="shared" si="168"/>
        <v>1681.9400000000003</v>
      </c>
      <c r="U131" s="208">
        <f>VLOOKUP(R131,TARIFA1,3)</f>
        <v>6.4000000000000001E-2</v>
      </c>
      <c r="V131" s="205">
        <f t="shared" si="169"/>
        <v>107.64416000000001</v>
      </c>
      <c r="W131" s="205">
        <f>VLOOKUP(R131,TARIFA1,2)</f>
        <v>6.15</v>
      </c>
      <c r="X131" s="205">
        <f t="shared" si="170"/>
        <v>113.79416000000002</v>
      </c>
      <c r="Y131" s="205">
        <f>VLOOKUP(R131,Credito1,2)</f>
        <v>188.7</v>
      </c>
      <c r="Z131" s="205">
        <f t="shared" si="171"/>
        <v>-74.91</v>
      </c>
      <c r="AA131" s="209"/>
      <c r="AB131" s="205">
        <f t="shared" si="172"/>
        <v>74.91</v>
      </c>
      <c r="AC131" s="205">
        <f t="shared" si="173"/>
        <v>0</v>
      </c>
      <c r="AD131" s="205">
        <v>0</v>
      </c>
      <c r="AE131" s="205">
        <v>0</v>
      </c>
      <c r="AF131" s="205">
        <v>0</v>
      </c>
      <c r="AG131" s="281">
        <v>0</v>
      </c>
      <c r="AH131" s="205">
        <f t="shared" si="174"/>
        <v>0</v>
      </c>
      <c r="AI131" s="205">
        <f t="shared" si="175"/>
        <v>2074.86</v>
      </c>
      <c r="AJ131" s="205"/>
      <c r="AK131" s="255"/>
    </row>
    <row r="132" spans="2:38" ht="21" customHeight="1" x14ac:dyDescent="0.25">
      <c r="B132" s="171">
        <v>99</v>
      </c>
      <c r="C132" s="161" t="s">
        <v>495</v>
      </c>
      <c r="D132" s="191" t="s">
        <v>253</v>
      </c>
      <c r="E132" s="211"/>
      <c r="F132" s="191">
        <v>15</v>
      </c>
      <c r="G132" s="204">
        <v>181</v>
      </c>
      <c r="H132" s="205">
        <f>F132*G132</f>
        <v>2715</v>
      </c>
      <c r="I132" s="206">
        <v>0</v>
      </c>
      <c r="J132" s="206">
        <v>0</v>
      </c>
      <c r="K132" s="206">
        <v>0</v>
      </c>
      <c r="L132" s="206">
        <v>0</v>
      </c>
      <c r="M132" s="206">
        <v>0</v>
      </c>
      <c r="N132" s="206">
        <v>0</v>
      </c>
      <c r="O132" s="205">
        <f t="shared" si="166"/>
        <v>2715</v>
      </c>
      <c r="P132" s="207"/>
      <c r="Q132" s="205">
        <v>0</v>
      </c>
      <c r="R132" s="205">
        <f t="shared" si="167"/>
        <v>2715</v>
      </c>
      <c r="S132" s="205">
        <f t="shared" si="165"/>
        <v>2699.41</v>
      </c>
      <c r="T132" s="205">
        <f t="shared" si="168"/>
        <v>15.590000000000146</v>
      </c>
      <c r="U132" s="208">
        <f>VLOOKUP(R132,TARIFA1,3)</f>
        <v>0.10879999999999999</v>
      </c>
      <c r="V132" s="205">
        <f t="shared" si="169"/>
        <v>1.6961920000000157</v>
      </c>
      <c r="W132" s="205">
        <f>VLOOKUP(R132,TARIFA1,2)</f>
        <v>158.55000000000001</v>
      </c>
      <c r="X132" s="205">
        <f t="shared" si="170"/>
        <v>160.24619200000004</v>
      </c>
      <c r="Y132" s="205">
        <f>VLOOKUP(R132,Credito1,2)</f>
        <v>145.35</v>
      </c>
      <c r="Z132" s="205">
        <f t="shared" si="171"/>
        <v>14.9</v>
      </c>
      <c r="AA132" s="209"/>
      <c r="AB132" s="205">
        <f t="shared" si="172"/>
        <v>0</v>
      </c>
      <c r="AC132" s="205">
        <f t="shared" si="173"/>
        <v>14.9</v>
      </c>
      <c r="AD132" s="205">
        <v>0</v>
      </c>
      <c r="AE132" s="205">
        <v>0</v>
      </c>
      <c r="AF132" s="205">
        <v>0</v>
      </c>
      <c r="AG132" s="281">
        <v>0</v>
      </c>
      <c r="AH132" s="205">
        <f t="shared" si="174"/>
        <v>14.9</v>
      </c>
      <c r="AI132" s="205">
        <f t="shared" si="175"/>
        <v>2700.1</v>
      </c>
      <c r="AJ132" s="205"/>
      <c r="AK132" s="255"/>
    </row>
    <row r="133" spans="2:38" ht="21" customHeight="1" x14ac:dyDescent="0.25">
      <c r="B133" s="171">
        <v>100</v>
      </c>
      <c r="C133" s="161" t="s">
        <v>356</v>
      </c>
      <c r="D133" s="191" t="s">
        <v>157</v>
      </c>
      <c r="E133" s="176"/>
      <c r="F133" s="191">
        <v>15</v>
      </c>
      <c r="G133" s="204">
        <v>78.8</v>
      </c>
      <c r="H133" s="205">
        <f>F133*G133</f>
        <v>1182</v>
      </c>
      <c r="I133" s="206">
        <v>0</v>
      </c>
      <c r="J133" s="206">
        <v>0</v>
      </c>
      <c r="K133" s="206">
        <v>0</v>
      </c>
      <c r="L133" s="206">
        <v>0</v>
      </c>
      <c r="M133" s="206">
        <v>0</v>
      </c>
      <c r="N133" s="206">
        <v>0</v>
      </c>
      <c r="O133" s="205">
        <f t="shared" si="166"/>
        <v>1182</v>
      </c>
      <c r="P133" s="207"/>
      <c r="Q133" s="205">
        <v>0</v>
      </c>
      <c r="R133" s="205">
        <f t="shared" si="167"/>
        <v>1182</v>
      </c>
      <c r="S133" s="205">
        <f t="shared" si="165"/>
        <v>318.01</v>
      </c>
      <c r="T133" s="205">
        <f t="shared" si="168"/>
        <v>863.99</v>
      </c>
      <c r="U133" s="208">
        <f>VLOOKUP(R133,TARIFA1,3)</f>
        <v>6.4000000000000001E-2</v>
      </c>
      <c r="V133" s="205">
        <f t="shared" si="169"/>
        <v>55.295360000000002</v>
      </c>
      <c r="W133" s="205">
        <f>VLOOKUP(R133,TARIFA1,2)</f>
        <v>6.15</v>
      </c>
      <c r="X133" s="205">
        <f t="shared" si="170"/>
        <v>61.445360000000001</v>
      </c>
      <c r="Y133" s="205">
        <f>VLOOKUP(R133,Credito1,2)</f>
        <v>200.7</v>
      </c>
      <c r="Z133" s="205">
        <f t="shared" si="171"/>
        <v>-139.25</v>
      </c>
      <c r="AA133" s="209"/>
      <c r="AB133" s="205">
        <f t="shared" si="172"/>
        <v>139.25</v>
      </c>
      <c r="AC133" s="205">
        <f t="shared" si="173"/>
        <v>0</v>
      </c>
      <c r="AD133" s="205">
        <v>0</v>
      </c>
      <c r="AE133" s="205">
        <v>0</v>
      </c>
      <c r="AF133" s="205">
        <v>0</v>
      </c>
      <c r="AG133" s="281">
        <v>0</v>
      </c>
      <c r="AH133" s="205">
        <f t="shared" si="174"/>
        <v>0</v>
      </c>
      <c r="AI133" s="205">
        <f t="shared" si="175"/>
        <v>1321.25</v>
      </c>
      <c r="AJ133" s="205"/>
      <c r="AK133" s="255"/>
    </row>
    <row r="134" spans="2:38" ht="21" customHeight="1" x14ac:dyDescent="0.25">
      <c r="B134" s="171"/>
      <c r="C134" s="161"/>
      <c r="D134" s="275" t="s">
        <v>111</v>
      </c>
      <c r="E134" s="443"/>
      <c r="F134" s="444"/>
      <c r="G134" s="445"/>
      <c r="H134" s="280">
        <f>SUM(H129:H133)</f>
        <v>9588.75</v>
      </c>
      <c r="I134" s="280">
        <f>SUM(I129:I133)</f>
        <v>0</v>
      </c>
      <c r="J134" s="205">
        <f>SUM(J129:J132)</f>
        <v>0</v>
      </c>
      <c r="K134" s="280">
        <f>SUM(K129:K133)</f>
        <v>0</v>
      </c>
      <c r="L134" s="205">
        <f t="shared" ref="L134:AF134" si="176">SUM(L129:L130)</f>
        <v>0</v>
      </c>
      <c r="M134" s="280">
        <f t="shared" si="176"/>
        <v>0</v>
      </c>
      <c r="N134" s="205">
        <f t="shared" si="176"/>
        <v>0</v>
      </c>
      <c r="O134" s="280">
        <f>SUM(O129:O133)</f>
        <v>9588.75</v>
      </c>
      <c r="P134" s="280">
        <f t="shared" si="176"/>
        <v>0</v>
      </c>
      <c r="Q134" s="205">
        <f t="shared" si="176"/>
        <v>0</v>
      </c>
      <c r="R134" s="280">
        <f t="shared" si="176"/>
        <v>3691.8</v>
      </c>
      <c r="S134" s="205">
        <f t="shared" si="165"/>
        <v>2699.41</v>
      </c>
      <c r="T134" s="280">
        <f t="shared" si="176"/>
        <v>3055.7799999999997</v>
      </c>
      <c r="U134" s="280">
        <f t="shared" si="176"/>
        <v>0.128</v>
      </c>
      <c r="V134" s="280">
        <f t="shared" si="176"/>
        <v>195.56992000000002</v>
      </c>
      <c r="W134" s="280">
        <f t="shared" si="176"/>
        <v>12.3</v>
      </c>
      <c r="X134" s="280">
        <f t="shared" si="176"/>
        <v>207.86992000000001</v>
      </c>
      <c r="Y134" s="280">
        <f t="shared" si="176"/>
        <v>346.04999999999995</v>
      </c>
      <c r="Z134" s="280">
        <f t="shared" si="176"/>
        <v>-138.18</v>
      </c>
      <c r="AA134" s="280"/>
      <c r="AB134" s="280">
        <f>SUM(AB129:AB133)</f>
        <v>364.74</v>
      </c>
      <c r="AC134" s="280">
        <f>SUM(AC129:AC133)</f>
        <v>27.3</v>
      </c>
      <c r="AD134" s="280">
        <f t="shared" si="176"/>
        <v>0</v>
      </c>
      <c r="AE134" s="280">
        <f t="shared" si="176"/>
        <v>0</v>
      </c>
      <c r="AF134" s="280">
        <f t="shared" si="176"/>
        <v>0</v>
      </c>
      <c r="AG134" s="280">
        <f>SUM(AG129:AG133)</f>
        <v>0</v>
      </c>
      <c r="AH134" s="280">
        <f>SUM(AH129:AH133)</f>
        <v>27.3</v>
      </c>
      <c r="AI134" s="280">
        <f>SUM(AI129:AI133)</f>
        <v>9926.19</v>
      </c>
      <c r="AJ134" s="171"/>
      <c r="AK134" s="255"/>
      <c r="AL134" s="108">
        <f>O134+AB134-AH134</f>
        <v>9926.19</v>
      </c>
    </row>
    <row r="135" spans="2:38" ht="21.75" customHeight="1" x14ac:dyDescent="0.25">
      <c r="B135" s="426" t="s">
        <v>136</v>
      </c>
      <c r="C135" s="426"/>
      <c r="D135" s="426"/>
      <c r="E135" s="426"/>
      <c r="F135" s="426"/>
      <c r="G135" s="426"/>
      <c r="H135" s="426"/>
      <c r="I135" s="426"/>
      <c r="J135" s="426"/>
      <c r="K135" s="426"/>
      <c r="L135" s="426"/>
      <c r="M135" s="426"/>
      <c r="N135" s="426"/>
      <c r="O135" s="426"/>
      <c r="P135" s="426"/>
      <c r="Q135" s="426"/>
      <c r="R135" s="426"/>
      <c r="S135" s="426"/>
      <c r="T135" s="426"/>
      <c r="U135" s="426"/>
      <c r="V135" s="426"/>
      <c r="W135" s="426"/>
      <c r="X135" s="426"/>
      <c r="Y135" s="426"/>
      <c r="Z135" s="426"/>
      <c r="AA135" s="426"/>
      <c r="AB135" s="426"/>
      <c r="AC135" s="426"/>
      <c r="AD135" s="426"/>
      <c r="AE135" s="426"/>
      <c r="AF135" s="426"/>
      <c r="AG135" s="426"/>
      <c r="AH135" s="426"/>
      <c r="AI135" s="426"/>
      <c r="AJ135" s="426"/>
      <c r="AK135" s="255"/>
    </row>
    <row r="136" spans="2:38" s="134" customFormat="1" ht="21" customHeight="1" x14ac:dyDescent="0.3">
      <c r="B136" s="160">
        <v>101</v>
      </c>
      <c r="C136" s="161" t="s">
        <v>452</v>
      </c>
      <c r="D136" s="160" t="s">
        <v>153</v>
      </c>
      <c r="E136" s="160"/>
      <c r="F136" s="160">
        <v>15</v>
      </c>
      <c r="G136" s="160">
        <v>123.27</v>
      </c>
      <c r="H136" s="271">
        <f>F136*G136</f>
        <v>1849.05</v>
      </c>
      <c r="I136" s="160">
        <v>0</v>
      </c>
      <c r="J136" s="160">
        <v>0</v>
      </c>
      <c r="K136" s="160">
        <v>0</v>
      </c>
      <c r="L136" s="160">
        <v>0</v>
      </c>
      <c r="M136" s="160">
        <v>0</v>
      </c>
      <c r="N136" s="160">
        <v>0</v>
      </c>
      <c r="O136" s="205">
        <f>SUM(H136:N136)</f>
        <v>1849.05</v>
      </c>
      <c r="P136" s="160"/>
      <c r="Q136" s="160">
        <v>0</v>
      </c>
      <c r="R136" s="205">
        <f t="shared" ref="R136:R138" si="177">H136+I136+J136+M136+Q136+K136</f>
        <v>1849.05</v>
      </c>
      <c r="S136" s="205">
        <f>VLOOKUP(R136,TARIFA1,1)</f>
        <v>318.01</v>
      </c>
      <c r="T136" s="205">
        <f t="shared" ref="T136:T138" si="178">R136-S136</f>
        <v>1531.04</v>
      </c>
      <c r="U136" s="208">
        <f>VLOOKUP(R136,TARIFA1,3)</f>
        <v>6.4000000000000001E-2</v>
      </c>
      <c r="V136" s="205">
        <f t="shared" ref="V136:V138" si="179">T136*U136</f>
        <v>97.986559999999997</v>
      </c>
      <c r="W136" s="205">
        <f>VLOOKUP(R136,TARIFA1,2)</f>
        <v>6.15</v>
      </c>
      <c r="X136" s="205">
        <f t="shared" ref="X136:X138" si="180">V136+W136</f>
        <v>104.13656</v>
      </c>
      <c r="Y136" s="205">
        <f>VLOOKUP(R136,Credito1,2)</f>
        <v>188.7</v>
      </c>
      <c r="Z136" s="205">
        <f>ROUND(X136-Y136,2)</f>
        <v>-84.56</v>
      </c>
      <c r="AA136" s="160"/>
      <c r="AB136" s="205">
        <f t="shared" ref="AB136:AB138" si="181">-IF(Z136&gt;0,0,Z136)</f>
        <v>84.56</v>
      </c>
      <c r="AC136" s="205">
        <f t="shared" ref="AC136:AC138" si="182">IF(Z136&lt;0,0,Z136)</f>
        <v>0</v>
      </c>
      <c r="AD136" s="205">
        <v>0</v>
      </c>
      <c r="AE136" s="205">
        <v>0</v>
      </c>
      <c r="AF136" s="205">
        <v>0</v>
      </c>
      <c r="AG136" s="281">
        <v>0</v>
      </c>
      <c r="AH136" s="205">
        <f>SUM(AC136:AG136)</f>
        <v>0</v>
      </c>
      <c r="AI136" s="274">
        <f>O136+AB136-AH136</f>
        <v>1933.61</v>
      </c>
      <c r="AJ136" s="160"/>
      <c r="AK136" s="255"/>
    </row>
    <row r="137" spans="2:38" s="134" customFormat="1" ht="21" customHeight="1" x14ac:dyDescent="0.3">
      <c r="B137" s="160">
        <v>102</v>
      </c>
      <c r="C137" s="161" t="s">
        <v>477</v>
      </c>
      <c r="D137" s="160" t="s">
        <v>121</v>
      </c>
      <c r="E137" s="160"/>
      <c r="F137" s="160">
        <v>15</v>
      </c>
      <c r="G137" s="160">
        <v>56.46</v>
      </c>
      <c r="H137" s="271">
        <v>663</v>
      </c>
      <c r="I137" s="160">
        <v>0</v>
      </c>
      <c r="J137" s="160">
        <v>0</v>
      </c>
      <c r="K137" s="160">
        <v>0</v>
      </c>
      <c r="L137" s="160">
        <v>0</v>
      </c>
      <c r="M137" s="160">
        <v>0</v>
      </c>
      <c r="N137" s="160">
        <v>0</v>
      </c>
      <c r="O137" s="205">
        <f>SUM(H137:N137)</f>
        <v>663</v>
      </c>
      <c r="P137" s="160"/>
      <c r="Q137" s="160">
        <v>0</v>
      </c>
      <c r="R137" s="205">
        <f t="shared" si="177"/>
        <v>663</v>
      </c>
      <c r="S137" s="205">
        <f>VLOOKUP(R137,TARIFA1,1)</f>
        <v>318.01</v>
      </c>
      <c r="T137" s="205">
        <f t="shared" si="178"/>
        <v>344.99</v>
      </c>
      <c r="U137" s="208">
        <f>VLOOKUP(R137,TARIFA1,3)</f>
        <v>6.4000000000000001E-2</v>
      </c>
      <c r="V137" s="205">
        <f t="shared" si="179"/>
        <v>22.079360000000001</v>
      </c>
      <c r="W137" s="205">
        <f>VLOOKUP(R137,TARIFA1,2)</f>
        <v>6.15</v>
      </c>
      <c r="X137" s="205">
        <f t="shared" si="180"/>
        <v>28.22936</v>
      </c>
      <c r="Y137" s="205">
        <f>VLOOKUP(R137,Credito1,2)</f>
        <v>200.85</v>
      </c>
      <c r="Z137" s="205">
        <f>ROUND(X137-Y137,2)</f>
        <v>-172.62</v>
      </c>
      <c r="AA137" s="160"/>
      <c r="AB137" s="205">
        <f t="shared" si="181"/>
        <v>172.62</v>
      </c>
      <c r="AC137" s="205">
        <f t="shared" si="182"/>
        <v>0</v>
      </c>
      <c r="AD137" s="205">
        <v>0</v>
      </c>
      <c r="AE137" s="205">
        <v>0</v>
      </c>
      <c r="AF137" s="205">
        <v>0</v>
      </c>
      <c r="AG137" s="281">
        <v>0</v>
      </c>
      <c r="AH137" s="205">
        <f>SUM(AC137:AG137)</f>
        <v>0</v>
      </c>
      <c r="AI137" s="274">
        <f>O137+AB137-AH137</f>
        <v>835.62</v>
      </c>
      <c r="AJ137" s="160"/>
      <c r="AK137" s="255"/>
    </row>
    <row r="138" spans="2:38" s="103" customFormat="1" ht="21" customHeight="1" x14ac:dyDescent="0.25">
      <c r="B138" s="171">
        <v>103</v>
      </c>
      <c r="C138" s="160" t="s">
        <v>527</v>
      </c>
      <c r="D138" s="191" t="s">
        <v>212</v>
      </c>
      <c r="E138" s="176"/>
      <c r="F138" s="191">
        <v>15</v>
      </c>
      <c r="G138" s="204">
        <v>266.67</v>
      </c>
      <c r="H138" s="271">
        <f>F138*G138</f>
        <v>4000.05</v>
      </c>
      <c r="I138" s="205">
        <v>0</v>
      </c>
      <c r="J138" s="205">
        <v>0</v>
      </c>
      <c r="K138" s="205">
        <v>0</v>
      </c>
      <c r="L138" s="205">
        <v>0</v>
      </c>
      <c r="M138" s="205">
        <v>0</v>
      </c>
      <c r="N138" s="205">
        <v>0</v>
      </c>
      <c r="O138" s="205">
        <f t="shared" ref="O138" si="183">SUM(H138:N138)</f>
        <v>4000.05</v>
      </c>
      <c r="P138" s="205"/>
      <c r="Q138" s="205">
        <v>0</v>
      </c>
      <c r="R138" s="205">
        <f t="shared" si="177"/>
        <v>4000.05</v>
      </c>
      <c r="S138" s="205">
        <f>VLOOKUP(R138,TARIFA1,1)</f>
        <v>2699.41</v>
      </c>
      <c r="T138" s="205">
        <f t="shared" si="178"/>
        <v>1300.6400000000003</v>
      </c>
      <c r="U138" s="208">
        <f>VLOOKUP(R138,TARIFA1,3)</f>
        <v>0.10879999999999999</v>
      </c>
      <c r="V138" s="205">
        <f t="shared" si="179"/>
        <v>141.50963200000004</v>
      </c>
      <c r="W138" s="205">
        <f>VLOOKUP(R138,TARIFA1,2)</f>
        <v>158.55000000000001</v>
      </c>
      <c r="X138" s="205">
        <f t="shared" si="180"/>
        <v>300.05963200000008</v>
      </c>
      <c r="Y138" s="205">
        <f>VLOOKUP(R138,Credito1,2)</f>
        <v>0</v>
      </c>
      <c r="Z138" s="205">
        <f t="shared" ref="Z138" si="184">ROUND(X138-Y138,2)</f>
        <v>300.06</v>
      </c>
      <c r="AA138" s="205"/>
      <c r="AB138" s="205">
        <f t="shared" si="181"/>
        <v>0</v>
      </c>
      <c r="AC138" s="205">
        <f t="shared" si="182"/>
        <v>300.06</v>
      </c>
      <c r="AD138" s="205">
        <v>0</v>
      </c>
      <c r="AE138" s="205">
        <v>0</v>
      </c>
      <c r="AF138" s="205">
        <v>0</v>
      </c>
      <c r="AG138" s="281">
        <v>0</v>
      </c>
      <c r="AH138" s="205">
        <f t="shared" ref="AH138" si="185">SUM(AC138:AG138)</f>
        <v>300.06</v>
      </c>
      <c r="AI138" s="274">
        <f t="shared" ref="AI138:AI139" si="186">O138+AB138-AH138</f>
        <v>3699.9900000000002</v>
      </c>
      <c r="AJ138" s="205"/>
      <c r="AK138" s="255"/>
    </row>
    <row r="139" spans="2:38" ht="21" customHeight="1" x14ac:dyDescent="0.25">
      <c r="B139" s="171">
        <v>104</v>
      </c>
      <c r="C139" s="161" t="s">
        <v>456</v>
      </c>
      <c r="D139" s="191" t="s">
        <v>151</v>
      </c>
      <c r="E139" s="176"/>
      <c r="F139" s="191">
        <v>15</v>
      </c>
      <c r="G139" s="204">
        <v>118.53</v>
      </c>
      <c r="H139" s="271">
        <f>F139*G139</f>
        <v>1777.95</v>
      </c>
      <c r="I139" s="206">
        <v>0</v>
      </c>
      <c r="J139" s="206">
        <v>0</v>
      </c>
      <c r="K139" s="206">
        <v>0</v>
      </c>
      <c r="L139" s="206">
        <v>0</v>
      </c>
      <c r="M139" s="206">
        <v>0</v>
      </c>
      <c r="N139" s="206">
        <v>0</v>
      </c>
      <c r="O139" s="205">
        <f>SUM(H139:N139)</f>
        <v>1777.95</v>
      </c>
      <c r="P139" s="207"/>
      <c r="Q139" s="205">
        <f>IF(G139=47.16,0,IF(G139&gt;47.16,L139*0.5,0))</f>
        <v>0</v>
      </c>
      <c r="R139" s="205">
        <f>H139+I139+J139+M139+Q139+K139</f>
        <v>1777.95</v>
      </c>
      <c r="S139" s="205">
        <f>VLOOKUP(R139,TARIFA1,1)</f>
        <v>318.01</v>
      </c>
      <c r="T139" s="205">
        <f>R139-S139</f>
        <v>1459.94</v>
      </c>
      <c r="U139" s="208">
        <f>VLOOKUP(R139,TARIFA1,3)</f>
        <v>6.4000000000000001E-2</v>
      </c>
      <c r="V139" s="205">
        <f>T139*U139</f>
        <v>93.436160000000001</v>
      </c>
      <c r="W139" s="205">
        <f>VLOOKUP(R139,TARIFA1,2)</f>
        <v>6.15</v>
      </c>
      <c r="X139" s="205">
        <f>V139+W139</f>
        <v>99.586160000000007</v>
      </c>
      <c r="Y139" s="205">
        <f>VLOOKUP(R139,Credito1,2)</f>
        <v>188.7</v>
      </c>
      <c r="Z139" s="205">
        <f>ROUND(X139-Y139,2)</f>
        <v>-89.11</v>
      </c>
      <c r="AA139" s="209"/>
      <c r="AB139" s="205">
        <f>-IF(Z139&gt;0,0,Z139)</f>
        <v>89.11</v>
      </c>
      <c r="AC139" s="205">
        <f>IF(Z139&lt;0,0,Z139)</f>
        <v>0</v>
      </c>
      <c r="AD139" s="205">
        <v>0</v>
      </c>
      <c r="AE139" s="205">
        <v>0</v>
      </c>
      <c r="AF139" s="205">
        <v>0</v>
      </c>
      <c r="AG139" s="281">
        <v>0</v>
      </c>
      <c r="AH139" s="205">
        <f>SUM(AC139:AG139)</f>
        <v>0</v>
      </c>
      <c r="AI139" s="274">
        <f t="shared" si="186"/>
        <v>1867.06</v>
      </c>
      <c r="AJ139" s="205"/>
      <c r="AK139" s="255"/>
    </row>
    <row r="140" spans="2:38" ht="19.5" customHeight="1" x14ac:dyDescent="0.25">
      <c r="B140" s="171"/>
      <c r="C140" s="161"/>
      <c r="D140" s="275" t="s">
        <v>111</v>
      </c>
      <c r="E140" s="443"/>
      <c r="F140" s="444"/>
      <c r="G140" s="445"/>
      <c r="H140" s="280">
        <f>SUM(H136:H139)</f>
        <v>8290.0500000000011</v>
      </c>
      <c r="I140" s="280">
        <f t="shared" ref="I140:AH140" si="187">SUM(I136:I139)</f>
        <v>0</v>
      </c>
      <c r="J140" s="280">
        <f t="shared" si="187"/>
        <v>0</v>
      </c>
      <c r="K140" s="280">
        <f t="shared" si="187"/>
        <v>0</v>
      </c>
      <c r="L140" s="280">
        <f t="shared" si="187"/>
        <v>0</v>
      </c>
      <c r="M140" s="280">
        <f t="shared" si="187"/>
        <v>0</v>
      </c>
      <c r="N140" s="280">
        <f t="shared" si="187"/>
        <v>0</v>
      </c>
      <c r="O140" s="280">
        <f t="shared" si="187"/>
        <v>8290.0500000000011</v>
      </c>
      <c r="P140" s="280">
        <f t="shared" si="187"/>
        <v>0</v>
      </c>
      <c r="Q140" s="205">
        <f t="shared" si="187"/>
        <v>0</v>
      </c>
      <c r="R140" s="280">
        <f t="shared" si="187"/>
        <v>8290.0500000000011</v>
      </c>
      <c r="S140" s="280">
        <f t="shared" si="187"/>
        <v>3653.4399999999996</v>
      </c>
      <c r="T140" s="280">
        <f t="shared" si="187"/>
        <v>4636.6100000000006</v>
      </c>
      <c r="U140" s="280">
        <f t="shared" si="187"/>
        <v>0.30080000000000001</v>
      </c>
      <c r="V140" s="280">
        <f t="shared" si="187"/>
        <v>355.01171199999999</v>
      </c>
      <c r="W140" s="280">
        <f t="shared" si="187"/>
        <v>177.00000000000003</v>
      </c>
      <c r="X140" s="280">
        <f t="shared" si="187"/>
        <v>532.0117120000001</v>
      </c>
      <c r="Y140" s="280">
        <f t="shared" si="187"/>
        <v>578.25</v>
      </c>
      <c r="Z140" s="280">
        <f t="shared" si="187"/>
        <v>-46.230000000000004</v>
      </c>
      <c r="AA140" s="280">
        <f t="shared" si="187"/>
        <v>0</v>
      </c>
      <c r="AB140" s="280">
        <f t="shared" si="187"/>
        <v>346.29</v>
      </c>
      <c r="AC140" s="280">
        <f t="shared" si="187"/>
        <v>300.06</v>
      </c>
      <c r="AD140" s="280">
        <f t="shared" si="187"/>
        <v>0</v>
      </c>
      <c r="AE140" s="280">
        <f t="shared" si="187"/>
        <v>0</v>
      </c>
      <c r="AF140" s="280">
        <f t="shared" si="187"/>
        <v>0</v>
      </c>
      <c r="AG140" s="280">
        <f t="shared" si="187"/>
        <v>0</v>
      </c>
      <c r="AH140" s="280">
        <f t="shared" si="187"/>
        <v>300.06</v>
      </c>
      <c r="AI140" s="280">
        <f>SUM(AI136:AI139)</f>
        <v>8336.2800000000007</v>
      </c>
      <c r="AJ140" s="171"/>
      <c r="AK140" s="255"/>
      <c r="AL140" s="108">
        <f>O140+AB140-AH140</f>
        <v>8336.2800000000025</v>
      </c>
    </row>
    <row r="141" spans="2:38" ht="21" hidden="1" customHeight="1" x14ac:dyDescent="0.25">
      <c r="B141" s="436" t="s">
        <v>138</v>
      </c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436"/>
      <c r="O141" s="436"/>
      <c r="P141" s="436"/>
      <c r="Q141" s="436"/>
      <c r="R141" s="436"/>
      <c r="S141" s="436"/>
      <c r="T141" s="436"/>
      <c r="U141" s="436"/>
      <c r="V141" s="436"/>
      <c r="W141" s="436"/>
      <c r="X141" s="436"/>
      <c r="Y141" s="436"/>
      <c r="Z141" s="436"/>
      <c r="AA141" s="436"/>
      <c r="AB141" s="436"/>
      <c r="AC141" s="436"/>
      <c r="AD141" s="436"/>
      <c r="AE141" s="436"/>
      <c r="AF141" s="436"/>
      <c r="AG141" s="436"/>
      <c r="AH141" s="436"/>
      <c r="AI141" s="436"/>
      <c r="AJ141" s="436"/>
      <c r="AK141" s="255"/>
    </row>
    <row r="142" spans="2:38" ht="21" hidden="1" customHeight="1" x14ac:dyDescent="0.25">
      <c r="B142" s="171"/>
      <c r="C142" s="161"/>
      <c r="D142" s="191" t="s">
        <v>163</v>
      </c>
      <c r="E142" s="191"/>
      <c r="F142" s="191">
        <v>15</v>
      </c>
      <c r="G142" s="204">
        <v>531.46</v>
      </c>
      <c r="H142" s="205"/>
      <c r="I142" s="206">
        <v>0</v>
      </c>
      <c r="J142" s="206">
        <v>0</v>
      </c>
      <c r="K142" s="206">
        <v>0</v>
      </c>
      <c r="L142" s="206">
        <v>0</v>
      </c>
      <c r="M142" s="206">
        <v>0</v>
      </c>
      <c r="N142" s="206">
        <v>0</v>
      </c>
      <c r="O142" s="205">
        <f t="shared" ref="O142:O149" si="188">SUM(H142:N142)</f>
        <v>0</v>
      </c>
      <c r="P142" s="207"/>
      <c r="Q142" s="205">
        <f t="shared" ref="Q142:Q149" si="189">IF(G142=47.16,0,IF(G142&gt;47.16,L142*0.5,0))</f>
        <v>0</v>
      </c>
      <c r="R142" s="205">
        <f t="shared" ref="R142:R149" si="190">H142+I142+J142+M142+Q142+K142</f>
        <v>0</v>
      </c>
      <c r="S142" s="205" t="e">
        <f t="shared" ref="S142:S149" si="191">VLOOKUP(R142,TARIFA1,1)</f>
        <v>#N/A</v>
      </c>
      <c r="T142" s="205" t="e">
        <f t="shared" ref="T142:T149" si="192">R142-S142</f>
        <v>#N/A</v>
      </c>
      <c r="U142" s="208" t="e">
        <f t="shared" ref="U142:U149" si="193">VLOOKUP(R142,TARIFA1,3)</f>
        <v>#N/A</v>
      </c>
      <c r="V142" s="205" t="e">
        <f t="shared" ref="V142:V149" si="194">T142*U142</f>
        <v>#N/A</v>
      </c>
      <c r="W142" s="205" t="e">
        <f t="shared" ref="W142:W149" si="195">VLOOKUP(R142,TARIFA1,2)</f>
        <v>#N/A</v>
      </c>
      <c r="X142" s="205" t="e">
        <f t="shared" ref="X142:X149" si="196">V142+W142</f>
        <v>#N/A</v>
      </c>
      <c r="Y142" s="205" t="e">
        <f t="shared" ref="Y142:Y149" si="197">VLOOKUP(R142,Credito1,2)</f>
        <v>#N/A</v>
      </c>
      <c r="Z142" s="205" t="e">
        <f t="shared" ref="Z142:Z149" si="198">ROUND(X142-Y142,2)</f>
        <v>#N/A</v>
      </c>
      <c r="AA142" s="209"/>
      <c r="AB142" s="205" t="e">
        <f t="shared" ref="AB142:AB149" si="199">-IF(Z142&gt;0,0,Z142)</f>
        <v>#N/A</v>
      </c>
      <c r="AC142" s="205" t="e">
        <f t="shared" ref="AC142:AC149" si="200">IF(Z142&lt;0,0,Z142)</f>
        <v>#N/A</v>
      </c>
      <c r="AD142" s="205">
        <v>0</v>
      </c>
      <c r="AE142" s="206">
        <v>0</v>
      </c>
      <c r="AF142" s="206">
        <v>0</v>
      </c>
      <c r="AG142" s="281">
        <v>0</v>
      </c>
      <c r="AH142" s="205" t="e">
        <f t="shared" ref="AH142:AH149" si="201">SUM(AC142:AG142)</f>
        <v>#N/A</v>
      </c>
      <c r="AI142" s="205" t="e">
        <f t="shared" ref="AI142:AI149" si="202">O142+AB142-AH142</f>
        <v>#N/A</v>
      </c>
      <c r="AJ142" s="205"/>
      <c r="AK142" s="255"/>
    </row>
    <row r="143" spans="2:38" ht="21" hidden="1" customHeight="1" x14ac:dyDescent="0.25">
      <c r="B143" s="171"/>
      <c r="C143" s="161"/>
      <c r="D143" s="191" t="s">
        <v>121</v>
      </c>
      <c r="E143" s="191"/>
      <c r="F143" s="191">
        <v>15</v>
      </c>
      <c r="G143" s="204">
        <v>531.46</v>
      </c>
      <c r="H143" s="205"/>
      <c r="I143" s="206">
        <v>0</v>
      </c>
      <c r="J143" s="206">
        <v>0</v>
      </c>
      <c r="K143" s="206">
        <v>0</v>
      </c>
      <c r="L143" s="206">
        <v>0</v>
      </c>
      <c r="M143" s="206">
        <v>0</v>
      </c>
      <c r="N143" s="206">
        <v>0</v>
      </c>
      <c r="O143" s="205">
        <f t="shared" si="188"/>
        <v>0</v>
      </c>
      <c r="P143" s="207"/>
      <c r="Q143" s="205">
        <f t="shared" si="189"/>
        <v>0</v>
      </c>
      <c r="R143" s="205">
        <f t="shared" si="190"/>
        <v>0</v>
      </c>
      <c r="S143" s="205" t="e">
        <f t="shared" si="191"/>
        <v>#N/A</v>
      </c>
      <c r="T143" s="205" t="e">
        <f t="shared" si="192"/>
        <v>#N/A</v>
      </c>
      <c r="U143" s="208" t="e">
        <f t="shared" si="193"/>
        <v>#N/A</v>
      </c>
      <c r="V143" s="205" t="e">
        <f t="shared" si="194"/>
        <v>#N/A</v>
      </c>
      <c r="W143" s="205" t="e">
        <f t="shared" si="195"/>
        <v>#N/A</v>
      </c>
      <c r="X143" s="205" t="e">
        <f t="shared" si="196"/>
        <v>#N/A</v>
      </c>
      <c r="Y143" s="205" t="e">
        <f t="shared" si="197"/>
        <v>#N/A</v>
      </c>
      <c r="Z143" s="205" t="e">
        <f t="shared" si="198"/>
        <v>#N/A</v>
      </c>
      <c r="AA143" s="209"/>
      <c r="AB143" s="205" t="e">
        <f t="shared" si="199"/>
        <v>#N/A</v>
      </c>
      <c r="AC143" s="205" t="e">
        <f t="shared" si="200"/>
        <v>#N/A</v>
      </c>
      <c r="AD143" s="205">
        <v>0</v>
      </c>
      <c r="AE143" s="206">
        <v>0</v>
      </c>
      <c r="AF143" s="206">
        <v>0</v>
      </c>
      <c r="AG143" s="281">
        <v>0</v>
      </c>
      <c r="AH143" s="205" t="e">
        <f t="shared" si="201"/>
        <v>#N/A</v>
      </c>
      <c r="AI143" s="205" t="e">
        <f t="shared" si="202"/>
        <v>#N/A</v>
      </c>
      <c r="AJ143" s="205"/>
      <c r="AK143" s="255"/>
    </row>
    <row r="144" spans="2:38" ht="21" hidden="1" customHeight="1" x14ac:dyDescent="0.25">
      <c r="B144" s="171"/>
      <c r="C144" s="161"/>
      <c r="D144" s="191" t="s">
        <v>180</v>
      </c>
      <c r="E144" s="191"/>
      <c r="F144" s="191">
        <v>15</v>
      </c>
      <c r="G144" s="204">
        <v>531.46</v>
      </c>
      <c r="H144" s="205"/>
      <c r="I144" s="206">
        <v>0</v>
      </c>
      <c r="J144" s="206">
        <v>0</v>
      </c>
      <c r="K144" s="206">
        <v>0</v>
      </c>
      <c r="L144" s="206">
        <v>0</v>
      </c>
      <c r="M144" s="206">
        <v>0</v>
      </c>
      <c r="N144" s="206">
        <v>0</v>
      </c>
      <c r="O144" s="205">
        <f t="shared" si="188"/>
        <v>0</v>
      </c>
      <c r="P144" s="207"/>
      <c r="Q144" s="205">
        <f t="shared" si="189"/>
        <v>0</v>
      </c>
      <c r="R144" s="205">
        <f t="shared" si="190"/>
        <v>0</v>
      </c>
      <c r="S144" s="205" t="e">
        <f t="shared" si="191"/>
        <v>#N/A</v>
      </c>
      <c r="T144" s="205" t="e">
        <f t="shared" si="192"/>
        <v>#N/A</v>
      </c>
      <c r="U144" s="208" t="e">
        <f t="shared" si="193"/>
        <v>#N/A</v>
      </c>
      <c r="V144" s="205" t="e">
        <f t="shared" si="194"/>
        <v>#N/A</v>
      </c>
      <c r="W144" s="205" t="e">
        <f t="shared" si="195"/>
        <v>#N/A</v>
      </c>
      <c r="X144" s="205" t="e">
        <f t="shared" si="196"/>
        <v>#N/A</v>
      </c>
      <c r="Y144" s="205" t="e">
        <f t="shared" si="197"/>
        <v>#N/A</v>
      </c>
      <c r="Z144" s="205" t="e">
        <f t="shared" si="198"/>
        <v>#N/A</v>
      </c>
      <c r="AA144" s="209"/>
      <c r="AB144" s="205" t="e">
        <f t="shared" si="199"/>
        <v>#N/A</v>
      </c>
      <c r="AC144" s="205" t="e">
        <f t="shared" si="200"/>
        <v>#N/A</v>
      </c>
      <c r="AD144" s="205">
        <v>0</v>
      </c>
      <c r="AE144" s="206">
        <v>0</v>
      </c>
      <c r="AF144" s="206">
        <v>0</v>
      </c>
      <c r="AG144" s="281">
        <v>0</v>
      </c>
      <c r="AH144" s="205" t="e">
        <f t="shared" si="201"/>
        <v>#N/A</v>
      </c>
      <c r="AI144" s="205" t="e">
        <f t="shared" si="202"/>
        <v>#N/A</v>
      </c>
      <c r="AJ144" s="205"/>
      <c r="AK144" s="255"/>
    </row>
    <row r="145" spans="2:40" ht="21" hidden="1" customHeight="1" x14ac:dyDescent="0.25">
      <c r="B145" s="171"/>
      <c r="C145" s="161"/>
      <c r="D145" s="191" t="s">
        <v>121</v>
      </c>
      <c r="E145" s="191"/>
      <c r="F145" s="191">
        <v>15</v>
      </c>
      <c r="G145" s="204">
        <v>531.46</v>
      </c>
      <c r="H145" s="205"/>
      <c r="I145" s="206">
        <v>0</v>
      </c>
      <c r="J145" s="206">
        <v>0</v>
      </c>
      <c r="K145" s="206">
        <v>0</v>
      </c>
      <c r="L145" s="206">
        <v>0</v>
      </c>
      <c r="M145" s="206">
        <v>0</v>
      </c>
      <c r="N145" s="206">
        <v>0</v>
      </c>
      <c r="O145" s="205">
        <f t="shared" si="188"/>
        <v>0</v>
      </c>
      <c r="P145" s="207"/>
      <c r="Q145" s="205">
        <f t="shared" si="189"/>
        <v>0</v>
      </c>
      <c r="R145" s="205">
        <f t="shared" si="190"/>
        <v>0</v>
      </c>
      <c r="S145" s="205" t="e">
        <f t="shared" si="191"/>
        <v>#N/A</v>
      </c>
      <c r="T145" s="205" t="e">
        <f t="shared" si="192"/>
        <v>#N/A</v>
      </c>
      <c r="U145" s="208" t="e">
        <f t="shared" si="193"/>
        <v>#N/A</v>
      </c>
      <c r="V145" s="205" t="e">
        <f t="shared" si="194"/>
        <v>#N/A</v>
      </c>
      <c r="W145" s="205" t="e">
        <f t="shared" si="195"/>
        <v>#N/A</v>
      </c>
      <c r="X145" s="205" t="e">
        <f t="shared" si="196"/>
        <v>#N/A</v>
      </c>
      <c r="Y145" s="205" t="e">
        <f t="shared" si="197"/>
        <v>#N/A</v>
      </c>
      <c r="Z145" s="205" t="e">
        <f t="shared" si="198"/>
        <v>#N/A</v>
      </c>
      <c r="AA145" s="209"/>
      <c r="AB145" s="205" t="e">
        <f t="shared" si="199"/>
        <v>#N/A</v>
      </c>
      <c r="AC145" s="205" t="e">
        <f t="shared" si="200"/>
        <v>#N/A</v>
      </c>
      <c r="AD145" s="205">
        <v>0</v>
      </c>
      <c r="AE145" s="206">
        <v>0</v>
      </c>
      <c r="AF145" s="206">
        <v>0</v>
      </c>
      <c r="AG145" s="281">
        <v>0</v>
      </c>
      <c r="AH145" s="205" t="e">
        <f t="shared" si="201"/>
        <v>#N/A</v>
      </c>
      <c r="AI145" s="205" t="e">
        <f t="shared" si="202"/>
        <v>#N/A</v>
      </c>
      <c r="AJ145" s="205"/>
      <c r="AK145" s="255"/>
    </row>
    <row r="146" spans="2:40" ht="21" hidden="1" customHeight="1" x14ac:dyDescent="0.25">
      <c r="B146" s="171"/>
      <c r="C146" s="161"/>
      <c r="D146" s="191" t="s">
        <v>182</v>
      </c>
      <c r="E146" s="191"/>
      <c r="F146" s="191">
        <v>15</v>
      </c>
      <c r="G146" s="204"/>
      <c r="H146" s="205"/>
      <c r="I146" s="206">
        <v>0</v>
      </c>
      <c r="J146" s="206">
        <v>0</v>
      </c>
      <c r="K146" s="206">
        <v>0</v>
      </c>
      <c r="L146" s="206">
        <v>0</v>
      </c>
      <c r="M146" s="206">
        <v>0</v>
      </c>
      <c r="N146" s="206">
        <v>0</v>
      </c>
      <c r="O146" s="205">
        <f t="shared" si="188"/>
        <v>0</v>
      </c>
      <c r="P146" s="207"/>
      <c r="Q146" s="205">
        <f t="shared" si="189"/>
        <v>0</v>
      </c>
      <c r="R146" s="205">
        <f t="shared" si="190"/>
        <v>0</v>
      </c>
      <c r="S146" s="205" t="e">
        <f t="shared" si="191"/>
        <v>#N/A</v>
      </c>
      <c r="T146" s="205" t="e">
        <f t="shared" si="192"/>
        <v>#N/A</v>
      </c>
      <c r="U146" s="208" t="e">
        <f t="shared" si="193"/>
        <v>#N/A</v>
      </c>
      <c r="V146" s="205" t="e">
        <f t="shared" si="194"/>
        <v>#N/A</v>
      </c>
      <c r="W146" s="205" t="e">
        <f t="shared" si="195"/>
        <v>#N/A</v>
      </c>
      <c r="X146" s="205" t="e">
        <f t="shared" si="196"/>
        <v>#N/A</v>
      </c>
      <c r="Y146" s="205" t="e">
        <f t="shared" si="197"/>
        <v>#N/A</v>
      </c>
      <c r="Z146" s="205" t="e">
        <f t="shared" si="198"/>
        <v>#N/A</v>
      </c>
      <c r="AA146" s="209"/>
      <c r="AB146" s="205" t="e">
        <f t="shared" si="199"/>
        <v>#N/A</v>
      </c>
      <c r="AC146" s="205" t="e">
        <f t="shared" si="200"/>
        <v>#N/A</v>
      </c>
      <c r="AD146" s="205">
        <v>0</v>
      </c>
      <c r="AE146" s="206">
        <v>0</v>
      </c>
      <c r="AF146" s="206">
        <v>0</v>
      </c>
      <c r="AG146" s="281">
        <v>0</v>
      </c>
      <c r="AH146" s="205" t="e">
        <f t="shared" si="201"/>
        <v>#N/A</v>
      </c>
      <c r="AI146" s="205" t="e">
        <f t="shared" si="202"/>
        <v>#N/A</v>
      </c>
      <c r="AJ146" s="205"/>
      <c r="AK146" s="255"/>
    </row>
    <row r="147" spans="2:40" ht="21" hidden="1" customHeight="1" x14ac:dyDescent="0.25">
      <c r="B147" s="171"/>
      <c r="C147" s="161"/>
      <c r="D147" s="191" t="s">
        <v>180</v>
      </c>
      <c r="E147" s="191"/>
      <c r="F147" s="191">
        <v>15</v>
      </c>
      <c r="G147" s="204"/>
      <c r="H147" s="205"/>
      <c r="I147" s="206">
        <v>0</v>
      </c>
      <c r="J147" s="206">
        <v>0</v>
      </c>
      <c r="K147" s="206">
        <v>0</v>
      </c>
      <c r="L147" s="206">
        <v>0</v>
      </c>
      <c r="M147" s="206">
        <v>0</v>
      </c>
      <c r="N147" s="206">
        <v>0</v>
      </c>
      <c r="O147" s="205">
        <f t="shared" si="188"/>
        <v>0</v>
      </c>
      <c r="P147" s="207"/>
      <c r="Q147" s="205">
        <f t="shared" si="189"/>
        <v>0</v>
      </c>
      <c r="R147" s="205">
        <f t="shared" si="190"/>
        <v>0</v>
      </c>
      <c r="S147" s="205" t="e">
        <f t="shared" si="191"/>
        <v>#N/A</v>
      </c>
      <c r="T147" s="205" t="e">
        <f t="shared" si="192"/>
        <v>#N/A</v>
      </c>
      <c r="U147" s="208" t="e">
        <f t="shared" si="193"/>
        <v>#N/A</v>
      </c>
      <c r="V147" s="205" t="e">
        <f t="shared" si="194"/>
        <v>#N/A</v>
      </c>
      <c r="W147" s="205" t="e">
        <f t="shared" si="195"/>
        <v>#N/A</v>
      </c>
      <c r="X147" s="205" t="e">
        <f t="shared" si="196"/>
        <v>#N/A</v>
      </c>
      <c r="Y147" s="205" t="e">
        <f t="shared" si="197"/>
        <v>#N/A</v>
      </c>
      <c r="Z147" s="205" t="e">
        <f t="shared" si="198"/>
        <v>#N/A</v>
      </c>
      <c r="AA147" s="209"/>
      <c r="AB147" s="205" t="e">
        <f t="shared" si="199"/>
        <v>#N/A</v>
      </c>
      <c r="AC147" s="205" t="e">
        <f t="shared" si="200"/>
        <v>#N/A</v>
      </c>
      <c r="AD147" s="205">
        <v>0</v>
      </c>
      <c r="AE147" s="206">
        <v>0</v>
      </c>
      <c r="AF147" s="206">
        <v>0</v>
      </c>
      <c r="AG147" s="281">
        <v>0</v>
      </c>
      <c r="AH147" s="205" t="e">
        <f t="shared" si="201"/>
        <v>#N/A</v>
      </c>
      <c r="AI147" s="205" t="e">
        <f t="shared" si="202"/>
        <v>#N/A</v>
      </c>
      <c r="AJ147" s="205"/>
      <c r="AK147" s="255"/>
    </row>
    <row r="148" spans="2:40" ht="21" hidden="1" customHeight="1" x14ac:dyDescent="0.25">
      <c r="B148" s="171"/>
      <c r="C148" s="161"/>
      <c r="D148" s="191" t="s">
        <v>121</v>
      </c>
      <c r="E148" s="191"/>
      <c r="F148" s="191">
        <v>15</v>
      </c>
      <c r="G148" s="204"/>
      <c r="H148" s="205"/>
      <c r="I148" s="206">
        <v>0</v>
      </c>
      <c r="J148" s="206">
        <v>0</v>
      </c>
      <c r="K148" s="206">
        <v>0</v>
      </c>
      <c r="L148" s="206">
        <v>0</v>
      </c>
      <c r="M148" s="206">
        <v>0</v>
      </c>
      <c r="N148" s="206">
        <v>0</v>
      </c>
      <c r="O148" s="205">
        <f t="shared" si="188"/>
        <v>0</v>
      </c>
      <c r="P148" s="207"/>
      <c r="Q148" s="205">
        <f t="shared" si="189"/>
        <v>0</v>
      </c>
      <c r="R148" s="205">
        <f t="shared" si="190"/>
        <v>0</v>
      </c>
      <c r="S148" s="205" t="e">
        <f t="shared" si="191"/>
        <v>#N/A</v>
      </c>
      <c r="T148" s="205" t="e">
        <f t="shared" si="192"/>
        <v>#N/A</v>
      </c>
      <c r="U148" s="208" t="e">
        <f t="shared" si="193"/>
        <v>#N/A</v>
      </c>
      <c r="V148" s="205" t="e">
        <f t="shared" si="194"/>
        <v>#N/A</v>
      </c>
      <c r="W148" s="205" t="e">
        <f t="shared" si="195"/>
        <v>#N/A</v>
      </c>
      <c r="X148" s="205" t="e">
        <f t="shared" si="196"/>
        <v>#N/A</v>
      </c>
      <c r="Y148" s="205" t="e">
        <f t="shared" si="197"/>
        <v>#N/A</v>
      </c>
      <c r="Z148" s="205" t="e">
        <f t="shared" si="198"/>
        <v>#N/A</v>
      </c>
      <c r="AA148" s="209"/>
      <c r="AB148" s="205" t="e">
        <f t="shared" si="199"/>
        <v>#N/A</v>
      </c>
      <c r="AC148" s="205" t="e">
        <f t="shared" si="200"/>
        <v>#N/A</v>
      </c>
      <c r="AD148" s="205">
        <v>0</v>
      </c>
      <c r="AE148" s="206">
        <v>0</v>
      </c>
      <c r="AF148" s="206">
        <v>0</v>
      </c>
      <c r="AG148" s="281">
        <v>0</v>
      </c>
      <c r="AH148" s="205" t="e">
        <f t="shared" si="201"/>
        <v>#N/A</v>
      </c>
      <c r="AI148" s="205" t="e">
        <f t="shared" si="202"/>
        <v>#N/A</v>
      </c>
      <c r="AJ148" s="205"/>
      <c r="AK148" s="255"/>
    </row>
    <row r="149" spans="2:40" ht="21" hidden="1" customHeight="1" x14ac:dyDescent="0.25">
      <c r="B149" s="171"/>
      <c r="C149" s="161"/>
      <c r="D149" s="191" t="s">
        <v>121</v>
      </c>
      <c r="E149" s="191"/>
      <c r="F149" s="191">
        <v>15</v>
      </c>
      <c r="G149" s="204"/>
      <c r="H149" s="205"/>
      <c r="I149" s="206">
        <v>0</v>
      </c>
      <c r="J149" s="206">
        <v>0</v>
      </c>
      <c r="K149" s="206">
        <v>0</v>
      </c>
      <c r="L149" s="206">
        <v>0</v>
      </c>
      <c r="M149" s="206">
        <v>0</v>
      </c>
      <c r="N149" s="206">
        <v>0</v>
      </c>
      <c r="O149" s="205">
        <f t="shared" si="188"/>
        <v>0</v>
      </c>
      <c r="P149" s="207"/>
      <c r="Q149" s="205">
        <f t="shared" si="189"/>
        <v>0</v>
      </c>
      <c r="R149" s="205">
        <f t="shared" si="190"/>
        <v>0</v>
      </c>
      <c r="S149" s="205" t="e">
        <f t="shared" si="191"/>
        <v>#N/A</v>
      </c>
      <c r="T149" s="205" t="e">
        <f t="shared" si="192"/>
        <v>#N/A</v>
      </c>
      <c r="U149" s="208" t="e">
        <f t="shared" si="193"/>
        <v>#N/A</v>
      </c>
      <c r="V149" s="205" t="e">
        <f t="shared" si="194"/>
        <v>#N/A</v>
      </c>
      <c r="W149" s="205" t="e">
        <f t="shared" si="195"/>
        <v>#N/A</v>
      </c>
      <c r="X149" s="205" t="e">
        <f t="shared" si="196"/>
        <v>#N/A</v>
      </c>
      <c r="Y149" s="205" t="e">
        <f t="shared" si="197"/>
        <v>#N/A</v>
      </c>
      <c r="Z149" s="205" t="e">
        <f t="shared" si="198"/>
        <v>#N/A</v>
      </c>
      <c r="AA149" s="209"/>
      <c r="AB149" s="205" t="e">
        <f t="shared" si="199"/>
        <v>#N/A</v>
      </c>
      <c r="AC149" s="205" t="e">
        <f t="shared" si="200"/>
        <v>#N/A</v>
      </c>
      <c r="AD149" s="205">
        <v>0</v>
      </c>
      <c r="AE149" s="206">
        <v>0</v>
      </c>
      <c r="AF149" s="206">
        <v>0</v>
      </c>
      <c r="AG149" s="281">
        <v>0</v>
      </c>
      <c r="AH149" s="205" t="e">
        <f t="shared" si="201"/>
        <v>#N/A</v>
      </c>
      <c r="AI149" s="205" t="e">
        <f t="shared" si="202"/>
        <v>#N/A</v>
      </c>
      <c r="AJ149" s="205"/>
      <c r="AK149" s="255"/>
    </row>
    <row r="150" spans="2:40" ht="18.75" hidden="1" customHeight="1" x14ac:dyDescent="0.25">
      <c r="B150" s="171"/>
      <c r="C150" s="161"/>
      <c r="D150" s="275" t="s">
        <v>111</v>
      </c>
      <c r="E150" s="275"/>
      <c r="F150" s="275"/>
      <c r="G150" s="293"/>
      <c r="H150" s="280">
        <f t="shared" ref="H150:AH150" si="203">SUM(H142:H149)</f>
        <v>0</v>
      </c>
      <c r="I150" s="280">
        <f t="shared" si="203"/>
        <v>0</v>
      </c>
      <c r="J150" s="205">
        <f t="shared" si="203"/>
        <v>0</v>
      </c>
      <c r="K150" s="280">
        <f t="shared" si="203"/>
        <v>0</v>
      </c>
      <c r="L150" s="205">
        <f t="shared" si="203"/>
        <v>0</v>
      </c>
      <c r="M150" s="280">
        <f t="shared" si="203"/>
        <v>0</v>
      </c>
      <c r="N150" s="205">
        <f t="shared" si="203"/>
        <v>0</v>
      </c>
      <c r="O150" s="280">
        <f t="shared" si="203"/>
        <v>0</v>
      </c>
      <c r="P150" s="280">
        <f t="shared" si="203"/>
        <v>0</v>
      </c>
      <c r="Q150" s="205">
        <f t="shared" si="203"/>
        <v>0</v>
      </c>
      <c r="R150" s="280">
        <f t="shared" si="203"/>
        <v>0</v>
      </c>
      <c r="S150" s="280" t="e">
        <f t="shared" si="203"/>
        <v>#N/A</v>
      </c>
      <c r="T150" s="280" t="e">
        <f t="shared" si="203"/>
        <v>#N/A</v>
      </c>
      <c r="U150" s="280" t="e">
        <f t="shared" si="203"/>
        <v>#N/A</v>
      </c>
      <c r="V150" s="280" t="e">
        <f t="shared" si="203"/>
        <v>#N/A</v>
      </c>
      <c r="W150" s="280" t="e">
        <f t="shared" si="203"/>
        <v>#N/A</v>
      </c>
      <c r="X150" s="280" t="e">
        <f t="shared" si="203"/>
        <v>#N/A</v>
      </c>
      <c r="Y150" s="280" t="e">
        <f t="shared" si="203"/>
        <v>#N/A</v>
      </c>
      <c r="Z150" s="280" t="e">
        <f t="shared" si="203"/>
        <v>#N/A</v>
      </c>
      <c r="AA150" s="280">
        <f t="shared" si="203"/>
        <v>0</v>
      </c>
      <c r="AB150" s="280" t="e">
        <f t="shared" si="203"/>
        <v>#N/A</v>
      </c>
      <c r="AC150" s="280" t="e">
        <f t="shared" si="203"/>
        <v>#N/A</v>
      </c>
      <c r="AD150" s="280">
        <f t="shared" si="203"/>
        <v>0</v>
      </c>
      <c r="AE150" s="280">
        <f t="shared" si="203"/>
        <v>0</v>
      </c>
      <c r="AF150" s="280">
        <f t="shared" si="203"/>
        <v>0</v>
      </c>
      <c r="AG150" s="280">
        <f t="shared" si="203"/>
        <v>0</v>
      </c>
      <c r="AH150" s="280" t="e">
        <f t="shared" si="203"/>
        <v>#N/A</v>
      </c>
      <c r="AI150" s="280" t="e">
        <f>SUM(AI142:AI149)</f>
        <v>#N/A</v>
      </c>
      <c r="AJ150" s="171"/>
      <c r="AK150" s="255"/>
    </row>
    <row r="151" spans="2:40" ht="24" customHeight="1" x14ac:dyDescent="0.25">
      <c r="B151" s="437" t="s">
        <v>230</v>
      </c>
      <c r="C151" s="437"/>
      <c r="D151" s="437"/>
      <c r="E151" s="437"/>
      <c r="F151" s="437"/>
      <c r="G151" s="437"/>
      <c r="H151" s="437"/>
      <c r="I151" s="437"/>
      <c r="J151" s="437"/>
      <c r="K151" s="437"/>
      <c r="L151" s="437"/>
      <c r="M151" s="437"/>
      <c r="N151" s="437"/>
      <c r="O151" s="437"/>
      <c r="P151" s="437"/>
      <c r="Q151" s="437"/>
      <c r="R151" s="437"/>
      <c r="S151" s="437"/>
      <c r="T151" s="437"/>
      <c r="U151" s="437"/>
      <c r="V151" s="437"/>
      <c r="W151" s="437"/>
      <c r="X151" s="437"/>
      <c r="Y151" s="437"/>
      <c r="Z151" s="437"/>
      <c r="AA151" s="437"/>
      <c r="AB151" s="437"/>
      <c r="AC151" s="437"/>
      <c r="AD151" s="437"/>
      <c r="AE151" s="437"/>
      <c r="AF151" s="437"/>
      <c r="AG151" s="437"/>
      <c r="AH151" s="437"/>
      <c r="AI151" s="437"/>
      <c r="AJ151" s="437"/>
      <c r="AK151" s="255"/>
    </row>
    <row r="152" spans="2:40" s="103" customFormat="1" ht="18.75" customHeight="1" x14ac:dyDescent="0.25">
      <c r="B152" s="171">
        <v>105</v>
      </c>
      <c r="C152" s="161" t="s">
        <v>511</v>
      </c>
      <c r="D152" s="191" t="s">
        <v>133</v>
      </c>
      <c r="E152" s="211"/>
      <c r="F152" s="191">
        <v>15</v>
      </c>
      <c r="G152" s="204">
        <v>73.33</v>
      </c>
      <c r="H152" s="205">
        <f>F152*G152</f>
        <v>1099.95</v>
      </c>
      <c r="I152" s="205">
        <v>0</v>
      </c>
      <c r="J152" s="205">
        <v>0</v>
      </c>
      <c r="K152" s="205">
        <v>0</v>
      </c>
      <c r="L152" s="205">
        <v>0</v>
      </c>
      <c r="M152" s="205">
        <v>0</v>
      </c>
      <c r="N152" s="205">
        <v>0</v>
      </c>
      <c r="O152" s="205">
        <f>SUM(H152:N152)</f>
        <v>1099.95</v>
      </c>
      <c r="P152" s="205"/>
      <c r="Q152" s="205">
        <v>0</v>
      </c>
      <c r="R152" s="205">
        <f>H152+I152+J152+M152+Q152+K152</f>
        <v>1099.95</v>
      </c>
      <c r="S152" s="205">
        <f>VLOOKUP(R152,TARIFA1,1)</f>
        <v>318.01</v>
      </c>
      <c r="T152" s="205">
        <f>R152-S152</f>
        <v>781.94</v>
      </c>
      <c r="U152" s="205">
        <f>VLOOKUP(R152,TARIFA1,3)</f>
        <v>6.4000000000000001E-2</v>
      </c>
      <c r="V152" s="205">
        <f>T152*U152</f>
        <v>50.044160000000005</v>
      </c>
      <c r="W152" s="205">
        <f>VLOOKUP(R152,TARIFA1,2)</f>
        <v>6.15</v>
      </c>
      <c r="X152" s="205">
        <f>V152+W152</f>
        <v>56.194160000000004</v>
      </c>
      <c r="Y152" s="205">
        <f>VLOOKUP(R152,Credito1,2)</f>
        <v>200.7</v>
      </c>
      <c r="Z152" s="205">
        <f>ROUND(X152-Y152,2)</f>
        <v>-144.51</v>
      </c>
      <c r="AA152" s="205"/>
      <c r="AB152" s="205">
        <f>-IF(Z152&gt;0,0,Z152)</f>
        <v>144.51</v>
      </c>
      <c r="AC152" s="205">
        <f>IF(Z152&lt;0,0,Z152)</f>
        <v>0</v>
      </c>
      <c r="AD152" s="205">
        <v>0</v>
      </c>
      <c r="AE152" s="205">
        <v>0</v>
      </c>
      <c r="AF152" s="205">
        <v>0</v>
      </c>
      <c r="AG152" s="205">
        <v>0</v>
      </c>
      <c r="AH152" s="205">
        <f>SUM(AC152:AG152)</f>
        <v>0</v>
      </c>
      <c r="AI152" s="205">
        <f>O152+AB152-AH152</f>
        <v>1244.46</v>
      </c>
      <c r="AJ152" s="171"/>
      <c r="AK152" s="255"/>
    </row>
    <row r="153" spans="2:40" ht="18.75" customHeight="1" x14ac:dyDescent="0.25">
      <c r="B153" s="171"/>
      <c r="C153" s="161"/>
      <c r="D153" s="275" t="s">
        <v>111</v>
      </c>
      <c r="E153" s="275"/>
      <c r="F153" s="443"/>
      <c r="G153" s="445"/>
      <c r="H153" s="280">
        <f t="shared" ref="H153:AG153" si="204">SUM(H145:H152)</f>
        <v>1099.95</v>
      </c>
      <c r="I153" s="280">
        <f t="shared" si="204"/>
        <v>0</v>
      </c>
      <c r="J153" s="205">
        <f t="shared" si="204"/>
        <v>0</v>
      </c>
      <c r="K153" s="280">
        <f t="shared" si="204"/>
        <v>0</v>
      </c>
      <c r="L153" s="205">
        <f t="shared" si="204"/>
        <v>0</v>
      </c>
      <c r="M153" s="280">
        <f t="shared" si="204"/>
        <v>0</v>
      </c>
      <c r="N153" s="205">
        <f t="shared" si="204"/>
        <v>0</v>
      </c>
      <c r="O153" s="280">
        <f t="shared" si="204"/>
        <v>1099.95</v>
      </c>
      <c r="P153" s="280">
        <f t="shared" si="204"/>
        <v>0</v>
      </c>
      <c r="Q153" s="205">
        <f t="shared" si="204"/>
        <v>0</v>
      </c>
      <c r="R153" s="280">
        <f t="shared" si="204"/>
        <v>1099.95</v>
      </c>
      <c r="S153" s="280">
        <f t="shared" ref="S153:Z153" si="205">SUM(S152)</f>
        <v>318.01</v>
      </c>
      <c r="T153" s="280">
        <f t="shared" si="205"/>
        <v>781.94</v>
      </c>
      <c r="U153" s="280">
        <f t="shared" si="205"/>
        <v>6.4000000000000001E-2</v>
      </c>
      <c r="V153" s="280">
        <f t="shared" si="205"/>
        <v>50.044160000000005</v>
      </c>
      <c r="W153" s="280">
        <f t="shared" si="205"/>
        <v>6.15</v>
      </c>
      <c r="X153" s="280">
        <f t="shared" si="205"/>
        <v>56.194160000000004</v>
      </c>
      <c r="Y153" s="280">
        <f t="shared" si="205"/>
        <v>200.7</v>
      </c>
      <c r="Z153" s="280">
        <f t="shared" si="205"/>
        <v>-144.51</v>
      </c>
      <c r="AA153" s="280"/>
      <c r="AB153" s="280">
        <f>SUM(AB152)</f>
        <v>144.51</v>
      </c>
      <c r="AC153" s="280">
        <f>SUM(AC152)</f>
        <v>0</v>
      </c>
      <c r="AD153" s="280">
        <f t="shared" si="204"/>
        <v>0</v>
      </c>
      <c r="AE153" s="280">
        <f t="shared" si="204"/>
        <v>0</v>
      </c>
      <c r="AF153" s="280">
        <f t="shared" si="204"/>
        <v>0</v>
      </c>
      <c r="AG153" s="280">
        <f t="shared" si="204"/>
        <v>0</v>
      </c>
      <c r="AH153" s="280">
        <f>SUM(AH152)</f>
        <v>0</v>
      </c>
      <c r="AI153" s="280">
        <f>SUM(AI152)</f>
        <v>1244.46</v>
      </c>
      <c r="AJ153" s="171"/>
      <c r="AK153" s="255"/>
      <c r="AL153" s="108">
        <f>O153+AB153-AH153</f>
        <v>1244.46</v>
      </c>
    </row>
    <row r="154" spans="2:40" ht="22.5" customHeight="1" x14ac:dyDescent="0.25">
      <c r="B154" s="426" t="s">
        <v>164</v>
      </c>
      <c r="C154" s="426"/>
      <c r="D154" s="426"/>
      <c r="E154" s="426"/>
      <c r="F154" s="426"/>
      <c r="G154" s="426"/>
      <c r="H154" s="426"/>
      <c r="I154" s="426"/>
      <c r="J154" s="426"/>
      <c r="K154" s="426"/>
      <c r="L154" s="426"/>
      <c r="M154" s="426"/>
      <c r="N154" s="426"/>
      <c r="O154" s="426"/>
      <c r="P154" s="426"/>
      <c r="Q154" s="426"/>
      <c r="R154" s="426"/>
      <c r="S154" s="426"/>
      <c r="T154" s="426"/>
      <c r="U154" s="426"/>
      <c r="V154" s="426"/>
      <c r="W154" s="426"/>
      <c r="X154" s="426"/>
      <c r="Y154" s="426"/>
      <c r="Z154" s="426"/>
      <c r="AA154" s="426"/>
      <c r="AB154" s="426"/>
      <c r="AC154" s="426"/>
      <c r="AD154" s="426"/>
      <c r="AE154" s="426"/>
      <c r="AF154" s="426"/>
      <c r="AG154" s="426"/>
      <c r="AH154" s="426"/>
      <c r="AI154" s="426"/>
      <c r="AJ154" s="426"/>
      <c r="AK154" s="255"/>
    </row>
    <row r="155" spans="2:40" ht="22.5" customHeight="1" x14ac:dyDescent="0.25">
      <c r="B155" s="171">
        <v>106</v>
      </c>
      <c r="C155" s="161" t="s">
        <v>349</v>
      </c>
      <c r="D155" s="191" t="s">
        <v>142</v>
      </c>
      <c r="E155" s="176"/>
      <c r="F155" s="191">
        <v>15</v>
      </c>
      <c r="G155" s="204">
        <v>260</v>
      </c>
      <c r="H155" s="205">
        <f>F155*G155</f>
        <v>3900</v>
      </c>
      <c r="I155" s="206">
        <v>0</v>
      </c>
      <c r="J155" s="206">
        <v>0</v>
      </c>
      <c r="K155" s="206">
        <v>0</v>
      </c>
      <c r="L155" s="206">
        <v>0</v>
      </c>
      <c r="M155" s="206">
        <v>0</v>
      </c>
      <c r="N155" s="206">
        <v>0</v>
      </c>
      <c r="O155" s="205">
        <f>SUM(H155:N155)</f>
        <v>3900</v>
      </c>
      <c r="P155" s="207"/>
      <c r="Q155" s="205">
        <f>IF(G155=47.16,0,IF(G155&gt;47.16,L155*0.5,0))</f>
        <v>0</v>
      </c>
      <c r="R155" s="205">
        <f>H155+I155+J155+M155+Q155+K155</f>
        <v>3900</v>
      </c>
      <c r="S155" s="205">
        <f>VLOOKUP(R155,TARIFA1,1)</f>
        <v>2699.41</v>
      </c>
      <c r="T155" s="205">
        <f>R155-S155</f>
        <v>1200.5900000000001</v>
      </c>
      <c r="U155" s="208">
        <f>VLOOKUP(R155,TARIFA1,3)</f>
        <v>0.10879999999999999</v>
      </c>
      <c r="V155" s="205">
        <f>T155*U155</f>
        <v>130.62419200000002</v>
      </c>
      <c r="W155" s="205">
        <f>VLOOKUP(R155,TARIFA1,2)</f>
        <v>158.55000000000001</v>
      </c>
      <c r="X155" s="205">
        <f>V155+W155</f>
        <v>289.17419200000006</v>
      </c>
      <c r="Y155" s="205">
        <f>VLOOKUP(R155,Credito1,2)</f>
        <v>0</v>
      </c>
      <c r="Z155" s="205">
        <f>ROUND(X155-Y155,2)</f>
        <v>289.17</v>
      </c>
      <c r="AA155" s="209"/>
      <c r="AB155" s="205">
        <f>-IF(Z155&gt;0,0,Z155)</f>
        <v>0</v>
      </c>
      <c r="AC155" s="205">
        <f>IF(Z155&lt;0,0,Z155)</f>
        <v>289.17</v>
      </c>
      <c r="AD155" s="205">
        <v>0</v>
      </c>
      <c r="AE155" s="206">
        <v>0</v>
      </c>
      <c r="AF155" s="206">
        <v>0</v>
      </c>
      <c r="AG155" s="281">
        <v>0</v>
      </c>
      <c r="AH155" s="205">
        <f>SUM(AC155:AG155)</f>
        <v>289.17</v>
      </c>
      <c r="AI155" s="205">
        <f>O155+AB155-AH155</f>
        <v>3610.83</v>
      </c>
      <c r="AJ155" s="205"/>
      <c r="AK155" s="255"/>
    </row>
    <row r="156" spans="2:40" ht="22.5" customHeight="1" x14ac:dyDescent="0.25">
      <c r="B156" s="171"/>
      <c r="C156" s="161"/>
      <c r="D156" s="275" t="s">
        <v>111</v>
      </c>
      <c r="E156" s="275"/>
      <c r="F156" s="443"/>
      <c r="G156" s="445"/>
      <c r="H156" s="280">
        <f>SUM(H155:H155)</f>
        <v>3900</v>
      </c>
      <c r="I156" s="280">
        <f t="shared" ref="I156:AG156" si="206">SUM(I155:I155)</f>
        <v>0</v>
      </c>
      <c r="J156" s="205">
        <f t="shared" si="206"/>
        <v>0</v>
      </c>
      <c r="K156" s="280">
        <f t="shared" si="206"/>
        <v>0</v>
      </c>
      <c r="L156" s="205">
        <f t="shared" si="206"/>
        <v>0</v>
      </c>
      <c r="M156" s="280">
        <f t="shared" si="206"/>
        <v>0</v>
      </c>
      <c r="N156" s="205">
        <f t="shared" si="206"/>
        <v>0</v>
      </c>
      <c r="O156" s="280">
        <f t="shared" si="206"/>
        <v>3900</v>
      </c>
      <c r="P156" s="280">
        <f t="shared" si="206"/>
        <v>0</v>
      </c>
      <c r="Q156" s="205">
        <f t="shared" si="206"/>
        <v>0</v>
      </c>
      <c r="R156" s="280">
        <f t="shared" si="206"/>
        <v>3900</v>
      </c>
      <c r="S156" s="280">
        <f t="shared" si="206"/>
        <v>2699.41</v>
      </c>
      <c r="T156" s="280">
        <f t="shared" si="206"/>
        <v>1200.5900000000001</v>
      </c>
      <c r="U156" s="280">
        <f t="shared" si="206"/>
        <v>0.10879999999999999</v>
      </c>
      <c r="V156" s="280">
        <f t="shared" si="206"/>
        <v>130.62419200000002</v>
      </c>
      <c r="W156" s="280">
        <f t="shared" si="206"/>
        <v>158.55000000000001</v>
      </c>
      <c r="X156" s="280">
        <f t="shared" si="206"/>
        <v>289.17419200000006</v>
      </c>
      <c r="Y156" s="280">
        <f t="shared" si="206"/>
        <v>0</v>
      </c>
      <c r="Z156" s="280">
        <f t="shared" si="206"/>
        <v>289.17</v>
      </c>
      <c r="AA156" s="280"/>
      <c r="AB156" s="280">
        <f t="shared" si="206"/>
        <v>0</v>
      </c>
      <c r="AC156" s="280">
        <f t="shared" si="206"/>
        <v>289.17</v>
      </c>
      <c r="AD156" s="280">
        <f t="shared" si="206"/>
        <v>0</v>
      </c>
      <c r="AE156" s="280">
        <f t="shared" si="206"/>
        <v>0</v>
      </c>
      <c r="AF156" s="280">
        <f t="shared" si="206"/>
        <v>0</v>
      </c>
      <c r="AG156" s="280">
        <f t="shared" si="206"/>
        <v>0</v>
      </c>
      <c r="AH156" s="280">
        <f>SUM(AH155:AH155)</f>
        <v>289.17</v>
      </c>
      <c r="AI156" s="280">
        <f>SUM(AI155:AI155)</f>
        <v>3610.83</v>
      </c>
      <c r="AJ156" s="171"/>
      <c r="AK156" s="255"/>
      <c r="AL156" s="108">
        <f>O156+AB156-AH156</f>
        <v>3610.83</v>
      </c>
    </row>
    <row r="157" spans="2:40" ht="22.5" customHeight="1" x14ac:dyDescent="0.25">
      <c r="B157" s="426" t="s">
        <v>184</v>
      </c>
      <c r="C157" s="426"/>
      <c r="D157" s="426"/>
      <c r="E157" s="426"/>
      <c r="F157" s="426"/>
      <c r="G157" s="426"/>
      <c r="H157" s="426"/>
      <c r="I157" s="426"/>
      <c r="J157" s="426"/>
      <c r="K157" s="426"/>
      <c r="L157" s="426"/>
      <c r="M157" s="426"/>
      <c r="N157" s="426"/>
      <c r="O157" s="426"/>
      <c r="P157" s="426"/>
      <c r="Q157" s="426"/>
      <c r="R157" s="426"/>
      <c r="S157" s="426"/>
      <c r="T157" s="426"/>
      <c r="U157" s="426"/>
      <c r="V157" s="426"/>
      <c r="W157" s="426"/>
      <c r="X157" s="426"/>
      <c r="Y157" s="426"/>
      <c r="Z157" s="426"/>
      <c r="AA157" s="426"/>
      <c r="AB157" s="426"/>
      <c r="AC157" s="426"/>
      <c r="AD157" s="426"/>
      <c r="AE157" s="426"/>
      <c r="AF157" s="426"/>
      <c r="AG157" s="426"/>
      <c r="AH157" s="426"/>
      <c r="AI157" s="426"/>
      <c r="AJ157" s="426"/>
      <c r="AK157" s="255"/>
    </row>
    <row r="158" spans="2:40" ht="22.5" customHeight="1" x14ac:dyDescent="0.25">
      <c r="B158" s="171">
        <v>107</v>
      </c>
      <c r="C158" s="161" t="s">
        <v>392</v>
      </c>
      <c r="D158" s="191" t="s">
        <v>185</v>
      </c>
      <c r="E158" s="176"/>
      <c r="F158" s="191">
        <v>15</v>
      </c>
      <c r="G158" s="204">
        <v>260</v>
      </c>
      <c r="H158" s="205">
        <f>F158*G158</f>
        <v>3900</v>
      </c>
      <c r="I158" s="206">
        <v>0</v>
      </c>
      <c r="J158" s="206">
        <v>0</v>
      </c>
      <c r="K158" s="206">
        <v>0</v>
      </c>
      <c r="L158" s="206">
        <v>0</v>
      </c>
      <c r="M158" s="206">
        <v>0</v>
      </c>
      <c r="N158" s="206">
        <v>0</v>
      </c>
      <c r="O158" s="205">
        <f>SUM(H158:N158)</f>
        <v>3900</v>
      </c>
      <c r="P158" s="207"/>
      <c r="Q158" s="205">
        <f>IF(G158=47.16,0,IF(G158&gt;47.16,L158*0.5,0))</f>
        <v>0</v>
      </c>
      <c r="R158" s="205">
        <f>H158+I158+J158+M158+Q158+K158</f>
        <v>3900</v>
      </c>
      <c r="S158" s="205">
        <f>VLOOKUP(R158,TARIFA1,1)</f>
        <v>2699.41</v>
      </c>
      <c r="T158" s="205">
        <f>R158-S158</f>
        <v>1200.5900000000001</v>
      </c>
      <c r="U158" s="208">
        <f>VLOOKUP(R158,TARIFA1,3)</f>
        <v>0.10879999999999999</v>
      </c>
      <c r="V158" s="205">
        <f>T158*U158</f>
        <v>130.62419200000002</v>
      </c>
      <c r="W158" s="205">
        <f>VLOOKUP(R158,TARIFA1,2)</f>
        <v>158.55000000000001</v>
      </c>
      <c r="X158" s="205">
        <f>V158+W158</f>
        <v>289.17419200000006</v>
      </c>
      <c r="Y158" s="205">
        <f>VLOOKUP(R158,Credito1,2)</f>
        <v>0</v>
      </c>
      <c r="Z158" s="205">
        <f>ROUND(X158-Y158,2)</f>
        <v>289.17</v>
      </c>
      <c r="AA158" s="209"/>
      <c r="AB158" s="205">
        <f>-IF(Z158&gt;0,0,Z158)</f>
        <v>0</v>
      </c>
      <c r="AC158" s="205">
        <f>IF(Z158&lt;0,0,Z158)</f>
        <v>289.17</v>
      </c>
      <c r="AD158" s="205">
        <v>0</v>
      </c>
      <c r="AE158" s="206">
        <v>0</v>
      </c>
      <c r="AF158" s="206">
        <v>0</v>
      </c>
      <c r="AG158" s="281">
        <v>0</v>
      </c>
      <c r="AH158" s="205">
        <f>SUM(AC158:AG158)</f>
        <v>289.17</v>
      </c>
      <c r="AI158" s="205">
        <f>O158+AB158-AH158</f>
        <v>3610.83</v>
      </c>
      <c r="AJ158" s="205"/>
      <c r="AK158" s="255"/>
    </row>
    <row r="159" spans="2:40" ht="22.5" customHeight="1" x14ac:dyDescent="0.25">
      <c r="B159" s="171"/>
      <c r="C159" s="161"/>
      <c r="D159" s="275" t="s">
        <v>111</v>
      </c>
      <c r="E159" s="275"/>
      <c r="F159" s="443"/>
      <c r="G159" s="445"/>
      <c r="H159" s="280">
        <f t="shared" ref="H159:AI159" si="207">SUM(H158:H158)</f>
        <v>3900</v>
      </c>
      <c r="I159" s="280">
        <f t="shared" si="207"/>
        <v>0</v>
      </c>
      <c r="J159" s="205">
        <f t="shared" si="207"/>
        <v>0</v>
      </c>
      <c r="K159" s="280">
        <f t="shared" si="207"/>
        <v>0</v>
      </c>
      <c r="L159" s="205">
        <f t="shared" si="207"/>
        <v>0</v>
      </c>
      <c r="M159" s="280">
        <f t="shared" si="207"/>
        <v>0</v>
      </c>
      <c r="N159" s="205">
        <f t="shared" si="207"/>
        <v>0</v>
      </c>
      <c r="O159" s="280">
        <f t="shared" si="207"/>
        <v>3900</v>
      </c>
      <c r="P159" s="280">
        <f t="shared" si="207"/>
        <v>0</v>
      </c>
      <c r="Q159" s="205">
        <f t="shared" si="207"/>
        <v>0</v>
      </c>
      <c r="R159" s="205">
        <f t="shared" ref="R159:R161" si="208">H159+I159+J159+M159+Q159+K159</f>
        <v>3900</v>
      </c>
      <c r="S159" s="280">
        <f t="shared" si="207"/>
        <v>2699.41</v>
      </c>
      <c r="T159" s="280">
        <f t="shared" si="207"/>
        <v>1200.5900000000001</v>
      </c>
      <c r="U159" s="280">
        <f>SUM(U158)</f>
        <v>0.10879999999999999</v>
      </c>
      <c r="V159" s="280">
        <f t="shared" si="207"/>
        <v>130.62419200000002</v>
      </c>
      <c r="W159" s="280">
        <f t="shared" si="207"/>
        <v>158.55000000000001</v>
      </c>
      <c r="X159" s="280">
        <f t="shared" si="207"/>
        <v>289.17419200000006</v>
      </c>
      <c r="Y159" s="280">
        <f t="shared" si="207"/>
        <v>0</v>
      </c>
      <c r="Z159" s="280">
        <f t="shared" si="207"/>
        <v>289.17</v>
      </c>
      <c r="AA159" s="280"/>
      <c r="AB159" s="280">
        <f t="shared" si="207"/>
        <v>0</v>
      </c>
      <c r="AC159" s="280">
        <f t="shared" si="207"/>
        <v>289.17</v>
      </c>
      <c r="AD159" s="280">
        <f t="shared" si="207"/>
        <v>0</v>
      </c>
      <c r="AE159" s="280">
        <f t="shared" si="207"/>
        <v>0</v>
      </c>
      <c r="AF159" s="280">
        <f t="shared" si="207"/>
        <v>0</v>
      </c>
      <c r="AG159" s="280">
        <f t="shared" si="207"/>
        <v>0</v>
      </c>
      <c r="AH159" s="280">
        <f t="shared" si="207"/>
        <v>289.17</v>
      </c>
      <c r="AI159" s="280">
        <f t="shared" si="207"/>
        <v>3610.83</v>
      </c>
      <c r="AJ159" s="171"/>
      <c r="AK159" s="255"/>
      <c r="AL159" s="108">
        <f>O158+AB159-AH159</f>
        <v>3610.83</v>
      </c>
    </row>
    <row r="160" spans="2:40" ht="21.75" customHeight="1" x14ac:dyDescent="0.25">
      <c r="B160" s="437" t="s">
        <v>226</v>
      </c>
      <c r="C160" s="437"/>
      <c r="D160" s="437"/>
      <c r="E160" s="437"/>
      <c r="F160" s="437"/>
      <c r="G160" s="437"/>
      <c r="H160" s="437"/>
      <c r="I160" s="437"/>
      <c r="J160" s="437"/>
      <c r="K160" s="437"/>
      <c r="L160" s="437"/>
      <c r="M160" s="437"/>
      <c r="N160" s="437"/>
      <c r="O160" s="437"/>
      <c r="P160" s="437"/>
      <c r="Q160" s="437"/>
      <c r="R160" s="437"/>
      <c r="S160" s="437"/>
      <c r="T160" s="437"/>
      <c r="U160" s="437"/>
      <c r="V160" s="437"/>
      <c r="W160" s="437"/>
      <c r="X160" s="437"/>
      <c r="Y160" s="437"/>
      <c r="Z160" s="437"/>
      <c r="AA160" s="437"/>
      <c r="AB160" s="437"/>
      <c r="AC160" s="437"/>
      <c r="AD160" s="437"/>
      <c r="AE160" s="437"/>
      <c r="AF160" s="437"/>
      <c r="AG160" s="437"/>
      <c r="AH160" s="437"/>
      <c r="AI160" s="437"/>
      <c r="AJ160" s="437"/>
      <c r="AK160" s="255"/>
      <c r="AN160" s="103"/>
    </row>
    <row r="161" spans="2:40" s="103" customFormat="1" ht="21.75" customHeight="1" x14ac:dyDescent="0.25">
      <c r="B161" s="171">
        <v>108</v>
      </c>
      <c r="C161" s="161" t="s">
        <v>490</v>
      </c>
      <c r="D161" s="191" t="s">
        <v>121</v>
      </c>
      <c r="E161" s="176"/>
      <c r="F161" s="191">
        <v>15</v>
      </c>
      <c r="G161" s="204">
        <v>266.67</v>
      </c>
      <c r="H161" s="205">
        <f>F161*G161</f>
        <v>4000.05</v>
      </c>
      <c r="I161" s="205">
        <v>0</v>
      </c>
      <c r="J161" s="205">
        <v>0</v>
      </c>
      <c r="K161" s="205">
        <v>0</v>
      </c>
      <c r="L161" s="205">
        <v>0</v>
      </c>
      <c r="M161" s="205">
        <v>0</v>
      </c>
      <c r="N161" s="205">
        <v>0</v>
      </c>
      <c r="O161" s="205">
        <f>SUM(H161:N161)</f>
        <v>4000.05</v>
      </c>
      <c r="P161" s="205"/>
      <c r="Q161" s="205">
        <v>0</v>
      </c>
      <c r="R161" s="205">
        <f t="shared" si="208"/>
        <v>4000.05</v>
      </c>
      <c r="S161" s="205">
        <f>VLOOKUP(R161,TARIFA1,1)</f>
        <v>2699.41</v>
      </c>
      <c r="T161" s="205">
        <f>R161-S161</f>
        <v>1300.6400000000003</v>
      </c>
      <c r="U161" s="205">
        <f>VLOOKUP(R161,TARIFA1,3)</f>
        <v>0.10879999999999999</v>
      </c>
      <c r="V161" s="205">
        <f>T161*U161</f>
        <v>141.50963200000004</v>
      </c>
      <c r="W161" s="205">
        <f>VLOOKUP(R161,TARIFA1,2)</f>
        <v>158.55000000000001</v>
      </c>
      <c r="X161" s="205">
        <f>V161+W161</f>
        <v>300.05963200000008</v>
      </c>
      <c r="Y161" s="205">
        <f>VLOOKUP(R161,Credito1,2)</f>
        <v>0</v>
      </c>
      <c r="Z161" s="205">
        <f>ROUND(X161-Y161,2)</f>
        <v>300.06</v>
      </c>
      <c r="AA161" s="205"/>
      <c r="AB161" s="205">
        <f>-IF(Z161&gt;0,0,Z161)</f>
        <v>0</v>
      </c>
      <c r="AC161" s="205">
        <f>IF(Z161&lt;0,0,Z161)</f>
        <v>300.06</v>
      </c>
      <c r="AD161" s="205">
        <v>0</v>
      </c>
      <c r="AE161" s="205">
        <v>0</v>
      </c>
      <c r="AF161" s="205">
        <v>0</v>
      </c>
      <c r="AG161" s="205">
        <v>0</v>
      </c>
      <c r="AH161" s="205">
        <f>SUM(AC161:AG161)</f>
        <v>300.06</v>
      </c>
      <c r="AI161" s="205">
        <f>O161+AB161-AH161</f>
        <v>3699.9900000000002</v>
      </c>
      <c r="AJ161" s="171"/>
      <c r="AK161" s="255"/>
    </row>
    <row r="162" spans="2:40" ht="21.75" customHeight="1" x14ac:dyDescent="0.25">
      <c r="B162" s="171"/>
      <c r="C162" s="161"/>
      <c r="D162" s="275" t="s">
        <v>111</v>
      </c>
      <c r="E162" s="275"/>
      <c r="F162" s="443"/>
      <c r="G162" s="445"/>
      <c r="H162" s="280">
        <f>SUM(H161:H161)</f>
        <v>4000.05</v>
      </c>
      <c r="I162" s="280">
        <f t="shared" ref="I162:AF162" si="209">SUM(I160:I160)</f>
        <v>0</v>
      </c>
      <c r="J162" s="205">
        <f t="shared" si="209"/>
        <v>0</v>
      </c>
      <c r="K162" s="280">
        <f t="shared" si="209"/>
        <v>0</v>
      </c>
      <c r="L162" s="205">
        <f t="shared" si="209"/>
        <v>0</v>
      </c>
      <c r="M162" s="280">
        <f t="shared" si="209"/>
        <v>0</v>
      </c>
      <c r="N162" s="205">
        <f t="shared" si="209"/>
        <v>0</v>
      </c>
      <c r="O162" s="280">
        <f>SUM(O161:O161)</f>
        <v>4000.05</v>
      </c>
      <c r="P162" s="280">
        <f t="shared" si="209"/>
        <v>0</v>
      </c>
      <c r="Q162" s="205">
        <f t="shared" si="209"/>
        <v>0</v>
      </c>
      <c r="R162" s="280">
        <f t="shared" si="209"/>
        <v>0</v>
      </c>
      <c r="S162" s="280">
        <f t="shared" si="209"/>
        <v>0</v>
      </c>
      <c r="T162" s="280">
        <f t="shared" si="209"/>
        <v>0</v>
      </c>
      <c r="U162" s="280">
        <f t="shared" si="209"/>
        <v>0</v>
      </c>
      <c r="V162" s="280">
        <f t="shared" si="209"/>
        <v>0</v>
      </c>
      <c r="W162" s="280">
        <f t="shared" si="209"/>
        <v>0</v>
      </c>
      <c r="X162" s="280">
        <f t="shared" si="209"/>
        <v>0</v>
      </c>
      <c r="Y162" s="280">
        <f t="shared" si="209"/>
        <v>0</v>
      </c>
      <c r="Z162" s="280">
        <f t="shared" si="209"/>
        <v>0</v>
      </c>
      <c r="AA162" s="280"/>
      <c r="AB162" s="280">
        <f>SUM(AB161:AB161)</f>
        <v>0</v>
      </c>
      <c r="AC162" s="280">
        <f>SUM(AC161:AC161)</f>
        <v>300.06</v>
      </c>
      <c r="AD162" s="280">
        <f t="shared" si="209"/>
        <v>0</v>
      </c>
      <c r="AE162" s="280">
        <f t="shared" si="209"/>
        <v>0</v>
      </c>
      <c r="AF162" s="280">
        <f t="shared" si="209"/>
        <v>0</v>
      </c>
      <c r="AG162" s="280">
        <f>SUM(AG161:AG161)</f>
        <v>0</v>
      </c>
      <c r="AH162" s="280">
        <f>SUM(AH161:AH161)</f>
        <v>300.06</v>
      </c>
      <c r="AI162" s="280">
        <f>SUM(AI161)</f>
        <v>3699.9900000000002</v>
      </c>
      <c r="AJ162" s="171"/>
      <c r="AK162" s="255"/>
      <c r="AL162" s="108">
        <f>O162+AB162-AH162</f>
        <v>3699.9900000000002</v>
      </c>
      <c r="AN162" s="103"/>
    </row>
    <row r="163" spans="2:40" ht="21.75" customHeight="1" x14ac:dyDescent="0.25">
      <c r="B163" s="446" t="s">
        <v>138</v>
      </c>
      <c r="C163" s="447"/>
      <c r="D163" s="447"/>
      <c r="E163" s="447"/>
      <c r="F163" s="447"/>
      <c r="G163" s="447"/>
      <c r="H163" s="447"/>
      <c r="I163" s="447"/>
      <c r="J163" s="447"/>
      <c r="K163" s="447"/>
      <c r="L163" s="447"/>
      <c r="M163" s="447"/>
      <c r="N163" s="447"/>
      <c r="O163" s="447"/>
      <c r="P163" s="447"/>
      <c r="Q163" s="447"/>
      <c r="R163" s="447"/>
      <c r="S163" s="447"/>
      <c r="T163" s="447"/>
      <c r="U163" s="447"/>
      <c r="V163" s="447"/>
      <c r="W163" s="447"/>
      <c r="X163" s="447"/>
      <c r="Y163" s="447"/>
      <c r="Z163" s="447"/>
      <c r="AA163" s="447"/>
      <c r="AB163" s="447"/>
      <c r="AC163" s="447"/>
      <c r="AD163" s="447"/>
      <c r="AE163" s="447"/>
      <c r="AF163" s="447"/>
      <c r="AG163" s="447"/>
      <c r="AH163" s="447"/>
      <c r="AI163" s="447"/>
      <c r="AJ163" s="448"/>
      <c r="AK163" s="255"/>
      <c r="AL163" s="108"/>
      <c r="AN163" s="103"/>
    </row>
    <row r="164" spans="2:40" s="179" customFormat="1" ht="30" customHeight="1" x14ac:dyDescent="0.3">
      <c r="B164" s="160">
        <v>109</v>
      </c>
      <c r="C164" s="161" t="s">
        <v>378</v>
      </c>
      <c r="D164" s="161" t="s">
        <v>332</v>
      </c>
      <c r="E164" s="161"/>
      <c r="F164" s="161">
        <v>15</v>
      </c>
      <c r="G164" s="161">
        <v>366.87</v>
      </c>
      <c r="H164" s="241">
        <f>F164*G164</f>
        <v>5503.05</v>
      </c>
      <c r="I164" s="241">
        <v>0</v>
      </c>
      <c r="J164" s="241">
        <v>0</v>
      </c>
      <c r="K164" s="241">
        <v>0</v>
      </c>
      <c r="L164" s="241">
        <v>0</v>
      </c>
      <c r="M164" s="241">
        <v>0</v>
      </c>
      <c r="N164" s="241">
        <v>0</v>
      </c>
      <c r="O164" s="241">
        <f>SUM(H164:N164)</f>
        <v>5503.05</v>
      </c>
      <c r="P164" s="241"/>
      <c r="Q164" s="241">
        <v>0</v>
      </c>
      <c r="R164" s="241">
        <f>H164+I164+J164+M164+Q164+K164</f>
        <v>5503.05</v>
      </c>
      <c r="S164" s="241">
        <f>VLOOKUP(R164,TARIFA1,1)</f>
        <v>4744.0600000000004</v>
      </c>
      <c r="T164" s="241">
        <f>R164-S164</f>
        <v>758.98999999999978</v>
      </c>
      <c r="U164" s="241">
        <f>VLOOKUP(R164,TARIFA1,3)</f>
        <v>0.16</v>
      </c>
      <c r="V164" s="241">
        <f>T164*U164</f>
        <v>121.43839999999997</v>
      </c>
      <c r="W164" s="241">
        <f>VLOOKUP(R164,TARIFA1,2)</f>
        <v>381</v>
      </c>
      <c r="X164" s="241">
        <f>V164+W164</f>
        <v>502.4384</v>
      </c>
      <c r="Y164" s="241">
        <f>VLOOKUP(R164,Credito1,2)</f>
        <v>0</v>
      </c>
      <c r="Z164" s="241">
        <f>ROUND(X164-Y164,2)</f>
        <v>502.44</v>
      </c>
      <c r="AA164" s="241"/>
      <c r="AB164" s="241">
        <f>-IF(Z164&gt;0,0,Z164)</f>
        <v>0</v>
      </c>
      <c r="AC164" s="241">
        <f>IF(Z164&lt;0,0,Z164)</f>
        <v>502.44</v>
      </c>
      <c r="AD164" s="241">
        <v>0</v>
      </c>
      <c r="AE164" s="241">
        <v>0</v>
      </c>
      <c r="AF164" s="241">
        <v>0</v>
      </c>
      <c r="AG164" s="241">
        <v>0</v>
      </c>
      <c r="AH164" s="241">
        <f>SUM(AC164:AG164)</f>
        <v>502.44</v>
      </c>
      <c r="AI164" s="241">
        <f>O164+AB164-AH164</f>
        <v>5000.6100000000006</v>
      </c>
      <c r="AJ164" s="294"/>
      <c r="AK164" s="295"/>
      <c r="AL164" s="180"/>
    </row>
    <row r="165" spans="2:40" ht="21.75" customHeight="1" x14ac:dyDescent="0.25">
      <c r="B165" s="296"/>
      <c r="C165" s="297"/>
      <c r="D165" s="298" t="s">
        <v>111</v>
      </c>
      <c r="E165" s="297"/>
      <c r="F165" s="297"/>
      <c r="G165" s="297"/>
      <c r="H165" s="299">
        <f>SUM(H164)</f>
        <v>5503.05</v>
      </c>
      <c r="I165" s="299">
        <f t="shared" ref="I165:AI165" si="210">SUM(I164)</f>
        <v>0</v>
      </c>
      <c r="J165" s="299">
        <f t="shared" si="210"/>
        <v>0</v>
      </c>
      <c r="K165" s="299">
        <f t="shared" si="210"/>
        <v>0</v>
      </c>
      <c r="L165" s="299">
        <f t="shared" si="210"/>
        <v>0</v>
      </c>
      <c r="M165" s="299">
        <f t="shared" si="210"/>
        <v>0</v>
      </c>
      <c r="N165" s="299">
        <f t="shared" si="210"/>
        <v>0</v>
      </c>
      <c r="O165" s="299">
        <f t="shared" si="210"/>
        <v>5503.05</v>
      </c>
      <c r="P165" s="299">
        <f t="shared" si="210"/>
        <v>0</v>
      </c>
      <c r="Q165" s="364">
        <f t="shared" si="210"/>
        <v>0</v>
      </c>
      <c r="R165" s="299">
        <f t="shared" si="210"/>
        <v>5503.05</v>
      </c>
      <c r="S165" s="299">
        <f t="shared" si="210"/>
        <v>4744.0600000000004</v>
      </c>
      <c r="T165" s="299">
        <f t="shared" si="210"/>
        <v>758.98999999999978</v>
      </c>
      <c r="U165" s="299">
        <f t="shared" si="210"/>
        <v>0.16</v>
      </c>
      <c r="V165" s="299">
        <f t="shared" si="210"/>
        <v>121.43839999999997</v>
      </c>
      <c r="W165" s="299">
        <f t="shared" si="210"/>
        <v>381</v>
      </c>
      <c r="X165" s="299">
        <f t="shared" si="210"/>
        <v>502.4384</v>
      </c>
      <c r="Y165" s="299">
        <f t="shared" si="210"/>
        <v>0</v>
      </c>
      <c r="Z165" s="299">
        <f t="shared" si="210"/>
        <v>502.44</v>
      </c>
      <c r="AA165" s="299">
        <f t="shared" si="210"/>
        <v>0</v>
      </c>
      <c r="AB165" s="299">
        <f t="shared" si="210"/>
        <v>0</v>
      </c>
      <c r="AC165" s="299">
        <f t="shared" si="210"/>
        <v>502.44</v>
      </c>
      <c r="AD165" s="299">
        <f t="shared" si="210"/>
        <v>0</v>
      </c>
      <c r="AE165" s="299">
        <f t="shared" si="210"/>
        <v>0</v>
      </c>
      <c r="AF165" s="299">
        <f t="shared" si="210"/>
        <v>0</v>
      </c>
      <c r="AG165" s="299">
        <f t="shared" si="210"/>
        <v>0</v>
      </c>
      <c r="AH165" s="299">
        <f t="shared" si="210"/>
        <v>502.44</v>
      </c>
      <c r="AI165" s="299">
        <f t="shared" si="210"/>
        <v>5000.6100000000006</v>
      </c>
      <c r="AJ165" s="300"/>
      <c r="AK165" s="255"/>
      <c r="AN165" s="103"/>
    </row>
    <row r="166" spans="2:40" ht="21.75" customHeight="1" x14ac:dyDescent="0.25">
      <c r="B166" s="189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  <c r="P166" s="276"/>
      <c r="Q166" s="357"/>
      <c r="R166" s="276"/>
      <c r="S166" s="276"/>
      <c r="T166" s="276"/>
      <c r="U166" s="276"/>
      <c r="V166" s="276"/>
      <c r="W166" s="276"/>
      <c r="X166" s="276"/>
      <c r="Y166" s="276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6"/>
      <c r="AJ166" s="277"/>
      <c r="AK166" s="255"/>
      <c r="AN166" s="103"/>
    </row>
    <row r="167" spans="2:40" ht="21.75" customHeight="1" x14ac:dyDescent="0.25">
      <c r="B167" s="443" t="s">
        <v>276</v>
      </c>
      <c r="C167" s="444"/>
      <c r="D167" s="444"/>
      <c r="E167" s="444"/>
      <c r="F167" s="444"/>
      <c r="G167" s="445"/>
      <c r="H167" s="280">
        <f t="shared" ref="H167:AI167" si="211">H22+H25+H30+H37+H46+H62+H69+H80+H84+H92+H109+H127+H134+H140+H153+H156+H159+H162+H165</f>
        <v>244227.12999999998</v>
      </c>
      <c r="I167" s="280">
        <f t="shared" si="211"/>
        <v>0</v>
      </c>
      <c r="J167" s="280">
        <f t="shared" si="211"/>
        <v>0</v>
      </c>
      <c r="K167" s="280">
        <f t="shared" si="211"/>
        <v>0</v>
      </c>
      <c r="L167" s="280">
        <f t="shared" si="211"/>
        <v>0</v>
      </c>
      <c r="M167" s="280">
        <f t="shared" si="211"/>
        <v>0</v>
      </c>
      <c r="N167" s="280">
        <f t="shared" si="211"/>
        <v>0</v>
      </c>
      <c r="O167" s="280">
        <f t="shared" si="211"/>
        <v>244227.12999999998</v>
      </c>
      <c r="P167" s="280">
        <f t="shared" si="211"/>
        <v>0</v>
      </c>
      <c r="Q167" s="205">
        <f t="shared" si="211"/>
        <v>0</v>
      </c>
      <c r="R167" s="280">
        <f t="shared" si="211"/>
        <v>207307.93</v>
      </c>
      <c r="S167" s="280">
        <f t="shared" si="211"/>
        <v>93042.280000000013</v>
      </c>
      <c r="T167" s="280">
        <f t="shared" si="211"/>
        <v>116329.04</v>
      </c>
      <c r="U167" s="280">
        <f t="shared" si="211"/>
        <v>6.9680000000000009</v>
      </c>
      <c r="V167" s="280">
        <f t="shared" si="211"/>
        <v>8832.4931599999964</v>
      </c>
      <c r="W167" s="280">
        <f t="shared" si="211"/>
        <v>5397.45</v>
      </c>
      <c r="X167" s="280">
        <f t="shared" si="211"/>
        <v>14229.943159999999</v>
      </c>
      <c r="Y167" s="280">
        <f t="shared" si="211"/>
        <v>13763.7</v>
      </c>
      <c r="Z167" s="280">
        <f t="shared" si="211"/>
        <v>466.2799999999998</v>
      </c>
      <c r="AA167" s="280">
        <f t="shared" si="211"/>
        <v>0</v>
      </c>
      <c r="AB167" s="280">
        <f t="shared" si="211"/>
        <v>7703.8099999999995</v>
      </c>
      <c r="AC167" s="280">
        <f t="shared" si="211"/>
        <v>7651.26</v>
      </c>
      <c r="AD167" s="280">
        <f t="shared" si="211"/>
        <v>0</v>
      </c>
      <c r="AE167" s="280">
        <f t="shared" si="211"/>
        <v>0</v>
      </c>
      <c r="AF167" s="280">
        <f t="shared" si="211"/>
        <v>0</v>
      </c>
      <c r="AG167" s="280">
        <f t="shared" si="211"/>
        <v>0</v>
      </c>
      <c r="AH167" s="280">
        <f t="shared" si="211"/>
        <v>7651.26</v>
      </c>
      <c r="AI167" s="280">
        <f t="shared" si="211"/>
        <v>244279.67999999993</v>
      </c>
      <c r="AJ167" s="171"/>
      <c r="AK167" s="255"/>
      <c r="AL167" s="108">
        <f>O167+AB167-AH167</f>
        <v>244279.67999999996</v>
      </c>
      <c r="AN167" s="103"/>
    </row>
    <row r="168" spans="2:40" ht="21.75" customHeight="1" x14ac:dyDescent="0.25">
      <c r="B168" s="178"/>
      <c r="C168" s="212"/>
      <c r="D168" s="278"/>
      <c r="E168" s="278"/>
      <c r="F168" s="278"/>
      <c r="G168" s="278"/>
      <c r="H168" s="301"/>
      <c r="I168" s="301"/>
      <c r="J168" s="215"/>
      <c r="K168" s="301"/>
      <c r="L168" s="215"/>
      <c r="M168" s="301"/>
      <c r="N168" s="215"/>
      <c r="O168" s="301"/>
      <c r="P168" s="301"/>
      <c r="Q168" s="215"/>
      <c r="R168" s="301"/>
      <c r="S168" s="301"/>
      <c r="T168" s="301"/>
      <c r="U168" s="301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  <c r="AJ168" s="178"/>
      <c r="AK168" s="255"/>
      <c r="AN168" s="103"/>
    </row>
    <row r="169" spans="2:40" ht="25.5" customHeight="1" thickBot="1" x14ac:dyDescent="0.3">
      <c r="B169" s="201"/>
      <c r="C169" s="223"/>
      <c r="D169" s="224"/>
      <c r="E169" s="201"/>
      <c r="F169" s="201"/>
      <c r="G169" s="201"/>
      <c r="H169" s="302"/>
      <c r="I169" s="302"/>
      <c r="J169" s="302"/>
      <c r="K169" s="302"/>
      <c r="L169" s="302"/>
      <c r="M169" s="302"/>
      <c r="N169" s="302"/>
      <c r="O169" s="302"/>
      <c r="P169" s="302"/>
      <c r="Q169" s="302"/>
      <c r="R169" s="302"/>
      <c r="S169" s="302"/>
      <c r="T169" s="302"/>
      <c r="U169" s="302"/>
      <c r="V169" s="302"/>
      <c r="W169" s="302"/>
      <c r="X169" s="302"/>
      <c r="Y169" s="302"/>
      <c r="Z169" s="302"/>
      <c r="AA169" s="302"/>
      <c r="AB169" s="303"/>
      <c r="AC169" s="303"/>
      <c r="AD169" s="303"/>
      <c r="AE169" s="303"/>
      <c r="AF169" s="303"/>
      <c r="AG169" s="303"/>
      <c r="AH169" s="303"/>
      <c r="AI169" s="303"/>
      <c r="AJ169" s="178"/>
      <c r="AK169" s="255"/>
    </row>
    <row r="170" spans="2:40" ht="25.5" customHeight="1" x14ac:dyDescent="0.25">
      <c r="B170" s="201"/>
      <c r="C170" s="417" t="s">
        <v>290</v>
      </c>
      <c r="D170" s="417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441" t="s">
        <v>330</v>
      </c>
      <c r="AC170" s="441"/>
      <c r="AD170" s="441"/>
      <c r="AE170" s="441"/>
      <c r="AF170" s="441"/>
      <c r="AG170" s="441"/>
      <c r="AH170" s="441"/>
      <c r="AI170" s="441"/>
      <c r="AJ170" s="181"/>
      <c r="AK170" s="255"/>
    </row>
    <row r="171" spans="2:40" ht="20.25" customHeight="1" x14ac:dyDescent="0.25">
      <c r="B171" s="166"/>
      <c r="C171" s="406" t="s">
        <v>334</v>
      </c>
      <c r="D171" s="406"/>
      <c r="E171" s="166"/>
      <c r="F171" s="166"/>
      <c r="G171" s="166"/>
      <c r="H171" s="166"/>
      <c r="I171" s="166"/>
      <c r="J171" s="167"/>
      <c r="K171" s="166"/>
      <c r="L171" s="167"/>
      <c r="M171" s="166"/>
      <c r="N171" s="167"/>
      <c r="O171" s="166"/>
      <c r="P171" s="166"/>
      <c r="Q171" s="167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440" t="s">
        <v>104</v>
      </c>
      <c r="AC171" s="440"/>
      <c r="AD171" s="440"/>
      <c r="AE171" s="440"/>
      <c r="AF171" s="440"/>
      <c r="AG171" s="440"/>
      <c r="AH171" s="440"/>
      <c r="AI171" s="440"/>
      <c r="AJ171" s="155"/>
    </row>
    <row r="172" spans="2:40" ht="20.25" customHeight="1" x14ac:dyDescent="0.25">
      <c r="AH172" s="103"/>
      <c r="AI172" s="108"/>
      <c r="AJ172" s="108"/>
    </row>
    <row r="173" spans="2:40" ht="21.75" customHeight="1" x14ac:dyDescent="0.25">
      <c r="AH173" s="112"/>
      <c r="AI173" s="116"/>
    </row>
    <row r="174" spans="2:40" ht="21.75" customHeight="1" x14ac:dyDescent="0.25">
      <c r="AH174" s="112"/>
      <c r="AI174" s="116"/>
      <c r="AJ174" s="108"/>
    </row>
    <row r="175" spans="2:40" ht="22.5" customHeight="1" x14ac:dyDescent="0.25">
      <c r="AC175" s="99"/>
      <c r="AH175" s="112"/>
      <c r="AI175" s="116"/>
    </row>
    <row r="176" spans="2:40" x14ac:dyDescent="0.25">
      <c r="AI176" s="108"/>
    </row>
    <row r="177" spans="29:35" x14ac:dyDescent="0.25">
      <c r="AC177" s="99"/>
    </row>
    <row r="178" spans="29:35" x14ac:dyDescent="0.25">
      <c r="AC178" s="99"/>
    </row>
    <row r="179" spans="29:35" x14ac:dyDescent="0.25">
      <c r="AC179" s="99"/>
      <c r="AI179" s="108"/>
    </row>
    <row r="180" spans="29:35" x14ac:dyDescent="0.25">
      <c r="AC180" s="99"/>
    </row>
    <row r="181" spans="29:35" x14ac:dyDescent="0.25">
      <c r="AC181" s="99"/>
    </row>
  </sheetData>
  <mergeCells count="62">
    <mergeCell ref="F159:G159"/>
    <mergeCell ref="E109:G109"/>
    <mergeCell ref="E127:G127"/>
    <mergeCell ref="E134:G134"/>
    <mergeCell ref="E140:G140"/>
    <mergeCell ref="B128:AJ128"/>
    <mergeCell ref="B135:AJ135"/>
    <mergeCell ref="B141:AJ141"/>
    <mergeCell ref="B151:AJ151"/>
    <mergeCell ref="F156:G156"/>
    <mergeCell ref="B110:AJ110"/>
    <mergeCell ref="B8:AJ8"/>
    <mergeCell ref="C9:C11"/>
    <mergeCell ref="D9:D11"/>
    <mergeCell ref="E9:E11"/>
    <mergeCell ref="G9:G10"/>
    <mergeCell ref="H10:H11"/>
    <mergeCell ref="AJ9:AJ11"/>
    <mergeCell ref="F9:F11"/>
    <mergeCell ref="O10:O11"/>
    <mergeCell ref="AB9:AB11"/>
    <mergeCell ref="AC10:AC11"/>
    <mergeCell ref="H9:O9"/>
    <mergeCell ref="S9:X9"/>
    <mergeCell ref="AC9:AH9"/>
    <mergeCell ref="B12:AJ12"/>
    <mergeCell ref="AG10:AG11"/>
    <mergeCell ref="AH10:AH11"/>
    <mergeCell ref="AI9:AI11"/>
    <mergeCell ref="B9:B11"/>
    <mergeCell ref="E46:G46"/>
    <mergeCell ref="E22:G22"/>
    <mergeCell ref="E25:G25"/>
    <mergeCell ref="C170:D170"/>
    <mergeCell ref="C171:D171"/>
    <mergeCell ref="B167:G167"/>
    <mergeCell ref="B63:AJ63"/>
    <mergeCell ref="E62:G62"/>
    <mergeCell ref="F153:G153"/>
    <mergeCell ref="B23:AJ23"/>
    <mergeCell ref="B26:AJ26"/>
    <mergeCell ref="B163:AJ163"/>
    <mergeCell ref="B93:AJ93"/>
    <mergeCell ref="B160:AJ160"/>
    <mergeCell ref="B154:AJ154"/>
    <mergeCell ref="B157:AJ157"/>
    <mergeCell ref="AB171:AI171"/>
    <mergeCell ref="AB170:AI170"/>
    <mergeCell ref="B7:AJ7"/>
    <mergeCell ref="E30:G30"/>
    <mergeCell ref="E37:G37"/>
    <mergeCell ref="F162:G162"/>
    <mergeCell ref="E69:G69"/>
    <mergeCell ref="E80:G80"/>
    <mergeCell ref="E84:G84"/>
    <mergeCell ref="E92:G92"/>
    <mergeCell ref="B70:AJ70"/>
    <mergeCell ref="B81:AJ81"/>
    <mergeCell ref="B85:AJ85"/>
    <mergeCell ref="B38:AJ38"/>
    <mergeCell ref="B47:AJ47"/>
    <mergeCell ref="B31:AJ31"/>
  </mergeCells>
  <pageMargins left="0.19685039370078741" right="0.62992125984251968" top="0.55118110236220474" bottom="0.43307086614173229" header="0.51181102362204722" footer="0.23622047244094491"/>
  <pageSetup scale="6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S43"/>
  <sheetViews>
    <sheetView showGridLines="0" topLeftCell="A9" zoomScale="82" zoomScaleNormal="82" workbookViewId="0">
      <selection activeCell="E19" sqref="E19"/>
    </sheetView>
  </sheetViews>
  <sheetFormatPr baseColWidth="10" defaultColWidth="11.453125" defaultRowHeight="15.5" x14ac:dyDescent="0.35"/>
  <cols>
    <col min="1" max="1" width="5.1796875" style="100" customWidth="1"/>
    <col min="2" max="2" width="5.54296875" style="100" customWidth="1"/>
    <col min="3" max="3" width="37.7265625" style="127" customWidth="1"/>
    <col min="4" max="4" width="37.453125" style="100" customWidth="1"/>
    <col min="5" max="5" width="24.453125" style="100" customWidth="1"/>
    <col min="6" max="6" width="10.26953125" style="100" customWidth="1"/>
    <col min="7" max="7" width="10" style="100" customWidth="1"/>
    <col min="8" max="8" width="24.4531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14.453125" style="100" hidden="1" customWidth="1"/>
    <col min="15" max="15" width="14.26953125" style="100" hidden="1" customWidth="1"/>
    <col min="16" max="16" width="8.7265625" style="100" hidden="1" customWidth="1"/>
    <col min="17" max="17" width="13.1796875" style="100" hidden="1" customWidth="1"/>
    <col min="18" max="18" width="13.54296875" style="100" hidden="1" customWidth="1"/>
    <col min="19" max="19" width="12.7265625" style="100" hidden="1" customWidth="1"/>
    <col min="20" max="20" width="13.453125" style="100" hidden="1" customWidth="1"/>
    <col min="21" max="22" width="13.1796875" style="100" hidden="1" customWidth="1"/>
    <col min="23" max="23" width="10.54296875" style="100" hidden="1" customWidth="1"/>
    <col min="24" max="24" width="12.816406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9" width="11.81640625" style="100" hidden="1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3.1796875" style="100" hidden="1" customWidth="1"/>
    <col min="34" max="34" width="19.81640625" style="100" hidden="1" customWidth="1"/>
    <col min="35" max="35" width="17.54296875" style="100" customWidth="1"/>
    <col min="36" max="36" width="56.453125" style="100" customWidth="1"/>
    <col min="37" max="37" width="12.26953125" style="111" bestFit="1" customWidth="1"/>
    <col min="38" max="38" width="15.1796875" style="113" customWidth="1"/>
    <col min="39" max="16384" width="11.453125" style="100"/>
  </cols>
  <sheetData>
    <row r="3" spans="1:39" x14ac:dyDescent="0.35">
      <c r="B3" s="201"/>
      <c r="C3" s="202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3"/>
    </row>
    <row r="4" spans="1:39" x14ac:dyDescent="0.35">
      <c r="B4" s="201"/>
      <c r="C4" s="202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3"/>
    </row>
    <row r="5" spans="1:39" x14ac:dyDescent="0.35">
      <c r="B5" s="201"/>
      <c r="C5" s="202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3"/>
    </row>
    <row r="6" spans="1:39" x14ac:dyDescent="0.35">
      <c r="B6" s="201"/>
      <c r="C6" s="202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3"/>
    </row>
    <row r="7" spans="1:39" x14ac:dyDescent="0.35">
      <c r="B7" s="201"/>
      <c r="C7" s="202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3"/>
    </row>
    <row r="8" spans="1:39" x14ac:dyDescent="0.35">
      <c r="B8" s="201"/>
      <c r="C8" s="202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3"/>
    </row>
    <row r="9" spans="1:39" ht="30" customHeight="1" x14ac:dyDescent="0.35">
      <c r="B9" s="201"/>
      <c r="C9" s="202"/>
      <c r="D9" s="201"/>
      <c r="E9" s="201"/>
      <c r="F9" s="362" t="s">
        <v>105</v>
      </c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3"/>
    </row>
    <row r="10" spans="1:39" x14ac:dyDescent="0.35">
      <c r="B10" s="201"/>
      <c r="C10" s="202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3"/>
    </row>
    <row r="11" spans="1:39" s="99" customFormat="1" x14ac:dyDescent="0.35">
      <c r="A11" s="100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201"/>
      <c r="AK11" s="203"/>
      <c r="AL11" s="111"/>
    </row>
    <row r="12" spans="1:39" s="99" customFormat="1" x14ac:dyDescent="0.35">
      <c r="A12" s="100"/>
      <c r="B12" s="456" t="str">
        <f>REGIDORES!B11</f>
        <v>NOMINA DEL 01 AL 15 DE DICIEMBRE DEL 2021</v>
      </c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201"/>
      <c r="AK12" s="203"/>
      <c r="AL12" s="111"/>
    </row>
    <row r="13" spans="1:39" s="99" customFormat="1" ht="28.5" customHeight="1" x14ac:dyDescent="0.35">
      <c r="A13" s="100"/>
      <c r="B13" s="171"/>
      <c r="C13" s="160"/>
      <c r="D13" s="171"/>
      <c r="E13" s="171"/>
      <c r="F13" s="169" t="s">
        <v>285</v>
      </c>
      <c r="G13" s="169" t="s">
        <v>9</v>
      </c>
      <c r="H13" s="457" t="s">
        <v>2</v>
      </c>
      <c r="I13" s="457"/>
      <c r="J13" s="457"/>
      <c r="K13" s="457"/>
      <c r="L13" s="457"/>
      <c r="M13" s="457"/>
      <c r="N13" s="457"/>
      <c r="O13" s="457"/>
      <c r="P13" s="169"/>
      <c r="Q13" s="169" t="s">
        <v>48</v>
      </c>
      <c r="R13" s="169"/>
      <c r="S13" s="458" t="s">
        <v>30</v>
      </c>
      <c r="T13" s="458"/>
      <c r="U13" s="458"/>
      <c r="V13" s="458"/>
      <c r="W13" s="458"/>
      <c r="X13" s="458"/>
      <c r="Y13" s="169" t="s">
        <v>286</v>
      </c>
      <c r="Z13" s="169" t="s">
        <v>31</v>
      </c>
      <c r="AA13" s="169"/>
      <c r="AB13" s="436" t="s">
        <v>204</v>
      </c>
      <c r="AC13" s="458" t="s">
        <v>3</v>
      </c>
      <c r="AD13" s="458"/>
      <c r="AE13" s="458"/>
      <c r="AF13" s="458"/>
      <c r="AG13" s="458"/>
      <c r="AH13" s="458"/>
      <c r="AI13" s="436" t="s">
        <v>206</v>
      </c>
      <c r="AJ13" s="171"/>
      <c r="AK13" s="203"/>
      <c r="AL13" s="111"/>
    </row>
    <row r="14" spans="1:39" s="99" customFormat="1" x14ac:dyDescent="0.35">
      <c r="A14" s="100"/>
      <c r="B14" s="169" t="s">
        <v>287</v>
      </c>
      <c r="C14" s="168" t="s">
        <v>43</v>
      </c>
      <c r="D14" s="169" t="s">
        <v>101</v>
      </c>
      <c r="E14" s="169" t="s">
        <v>216</v>
      </c>
      <c r="F14" s="190" t="s">
        <v>44</v>
      </c>
      <c r="G14" s="169" t="s">
        <v>45</v>
      </c>
      <c r="H14" s="436" t="s">
        <v>203</v>
      </c>
      <c r="I14" s="169" t="s">
        <v>46</v>
      </c>
      <c r="J14" s="169" t="s">
        <v>46</v>
      </c>
      <c r="K14" s="169" t="s">
        <v>73</v>
      </c>
      <c r="L14" s="169" t="s">
        <v>48</v>
      </c>
      <c r="M14" s="169" t="s">
        <v>50</v>
      </c>
      <c r="N14" s="436" t="s">
        <v>293</v>
      </c>
      <c r="O14" s="436" t="s">
        <v>294</v>
      </c>
      <c r="P14" s="169"/>
      <c r="Q14" s="169" t="s">
        <v>49</v>
      </c>
      <c r="R14" s="169" t="s">
        <v>56</v>
      </c>
      <c r="S14" s="169" t="s">
        <v>33</v>
      </c>
      <c r="T14" s="169" t="s">
        <v>58</v>
      </c>
      <c r="U14" s="169" t="s">
        <v>60</v>
      </c>
      <c r="V14" s="169" t="s">
        <v>61</v>
      </c>
      <c r="W14" s="169" t="s">
        <v>35</v>
      </c>
      <c r="X14" s="169" t="s">
        <v>31</v>
      </c>
      <c r="Y14" s="169" t="s">
        <v>64</v>
      </c>
      <c r="Z14" s="169" t="s">
        <v>65</v>
      </c>
      <c r="AA14" s="169"/>
      <c r="AB14" s="436"/>
      <c r="AC14" s="169" t="s">
        <v>4</v>
      </c>
      <c r="AD14" s="169" t="s">
        <v>5</v>
      </c>
      <c r="AE14" s="169" t="s">
        <v>286</v>
      </c>
      <c r="AF14" s="169" t="s">
        <v>74</v>
      </c>
      <c r="AG14" s="168" t="s">
        <v>99</v>
      </c>
      <c r="AH14" s="436" t="s">
        <v>205</v>
      </c>
      <c r="AI14" s="436"/>
      <c r="AJ14" s="171"/>
      <c r="AK14" s="203"/>
      <c r="AL14" s="111"/>
    </row>
    <row r="15" spans="1:39" s="99" customFormat="1" ht="16.5" customHeight="1" x14ac:dyDescent="0.35">
      <c r="A15" s="100"/>
      <c r="B15" s="169"/>
      <c r="C15" s="168"/>
      <c r="D15" s="169"/>
      <c r="E15" s="169"/>
      <c r="F15" s="169"/>
      <c r="G15" s="169"/>
      <c r="H15" s="436"/>
      <c r="I15" s="169" t="s">
        <v>76</v>
      </c>
      <c r="J15" s="169" t="s">
        <v>47</v>
      </c>
      <c r="K15" s="169"/>
      <c r="L15" s="169" t="s">
        <v>49</v>
      </c>
      <c r="M15" s="169" t="s">
        <v>51</v>
      </c>
      <c r="N15" s="436"/>
      <c r="O15" s="436"/>
      <c r="P15" s="169"/>
      <c r="Q15" s="169" t="s">
        <v>66</v>
      </c>
      <c r="R15" s="169" t="s">
        <v>57</v>
      </c>
      <c r="S15" s="169" t="s">
        <v>34</v>
      </c>
      <c r="T15" s="169" t="s">
        <v>59</v>
      </c>
      <c r="U15" s="169" t="s">
        <v>59</v>
      </c>
      <c r="V15" s="169" t="s">
        <v>62</v>
      </c>
      <c r="W15" s="169" t="s">
        <v>36</v>
      </c>
      <c r="X15" s="169" t="s">
        <v>63</v>
      </c>
      <c r="Y15" s="169" t="s">
        <v>40</v>
      </c>
      <c r="Z15" s="169" t="s">
        <v>94</v>
      </c>
      <c r="AA15" s="169"/>
      <c r="AB15" s="436"/>
      <c r="AC15" s="169"/>
      <c r="AD15" s="169"/>
      <c r="AE15" s="169" t="s">
        <v>72</v>
      </c>
      <c r="AF15" s="169" t="s">
        <v>75</v>
      </c>
      <c r="AG15" s="169"/>
      <c r="AH15" s="436"/>
      <c r="AI15" s="436"/>
      <c r="AJ15" s="169" t="s">
        <v>100</v>
      </c>
      <c r="AK15" s="203"/>
      <c r="AL15" s="111"/>
    </row>
    <row r="16" spans="1:39" s="99" customFormat="1" ht="43.5" customHeight="1" x14ac:dyDescent="0.35">
      <c r="A16" s="100"/>
      <c r="B16" s="171">
        <v>1</v>
      </c>
      <c r="C16" s="161" t="s">
        <v>109</v>
      </c>
      <c r="D16" s="191" t="s">
        <v>106</v>
      </c>
      <c r="E16" s="191"/>
      <c r="F16" s="191">
        <v>15</v>
      </c>
      <c r="G16" s="204">
        <v>98.14</v>
      </c>
      <c r="H16" s="205">
        <v>1531</v>
      </c>
      <c r="I16" s="206">
        <v>0</v>
      </c>
      <c r="J16" s="206">
        <f>I16</f>
        <v>0</v>
      </c>
      <c r="K16" s="206">
        <v>0</v>
      </c>
      <c r="L16" s="206">
        <v>0</v>
      </c>
      <c r="M16" s="206">
        <v>0</v>
      </c>
      <c r="N16" s="206">
        <v>0</v>
      </c>
      <c r="O16" s="205">
        <f t="shared" ref="O16:O22" si="0">SUM(H16:N16)</f>
        <v>1531</v>
      </c>
      <c r="P16" s="207"/>
      <c r="Q16" s="205">
        <f>IF(G16=47.16,0,IF(G16&gt;47.16,L16*0.5,0))</f>
        <v>0</v>
      </c>
      <c r="R16" s="205">
        <f>H16+I16+J16+M16+Q16+K16</f>
        <v>1531</v>
      </c>
      <c r="S16" s="205">
        <f t="shared" ref="S16:S22" si="1">VLOOKUP(R16,TARIFA1,1)</f>
        <v>318.01</v>
      </c>
      <c r="T16" s="205">
        <f>R16-S16</f>
        <v>1212.99</v>
      </c>
      <c r="U16" s="208">
        <f t="shared" ref="U16:U22" si="2">VLOOKUP(R16,TARIFA1,3)</f>
        <v>6.4000000000000001E-2</v>
      </c>
      <c r="V16" s="205">
        <f>T16*U16</f>
        <v>77.631360000000001</v>
      </c>
      <c r="W16" s="205">
        <f t="shared" ref="W16:W22" si="3">VLOOKUP(R16,TARIFA1,2)</f>
        <v>6.15</v>
      </c>
      <c r="X16" s="205">
        <f>V16+W16</f>
        <v>83.781360000000006</v>
      </c>
      <c r="Y16" s="205">
        <f t="shared" ref="Y16:Y22" si="4">VLOOKUP(R16,Credito1,2)</f>
        <v>200.7</v>
      </c>
      <c r="Z16" s="205">
        <f>X16-Y16</f>
        <v>-116.91863999999998</v>
      </c>
      <c r="AA16" s="209"/>
      <c r="AB16" s="205">
        <v>0</v>
      </c>
      <c r="AC16" s="205">
        <f t="shared" ref="AC16:AC22" si="5">IF(Z16&lt;0,0,Z16)</f>
        <v>0</v>
      </c>
      <c r="AD16" s="205">
        <v>0</v>
      </c>
      <c r="AE16" s="206">
        <v>0</v>
      </c>
      <c r="AF16" s="206">
        <v>0</v>
      </c>
      <c r="AG16" s="281">
        <v>0</v>
      </c>
      <c r="AH16" s="205">
        <f t="shared" ref="AH16:AH22" si="6">SUM(AC16:AG16)</f>
        <v>0</v>
      </c>
      <c r="AI16" s="205">
        <f t="shared" ref="AI16:AI22" si="7">O16+AB16-AH16</f>
        <v>1531</v>
      </c>
      <c r="AJ16" s="205"/>
      <c r="AK16" s="302"/>
      <c r="AL16" s="110"/>
      <c r="AM16" s="101"/>
    </row>
    <row r="17" spans="1:45" s="99" customFormat="1" ht="43.5" customHeight="1" x14ac:dyDescent="0.35">
      <c r="A17" s="100"/>
      <c r="B17" s="171">
        <v>2</v>
      </c>
      <c r="C17" s="305" t="s">
        <v>515</v>
      </c>
      <c r="D17" s="304" t="s">
        <v>106</v>
      </c>
      <c r="E17" s="304"/>
      <c r="F17" s="304">
        <v>15</v>
      </c>
      <c r="G17" s="306">
        <v>98.14</v>
      </c>
      <c r="H17" s="205">
        <v>1531</v>
      </c>
      <c r="I17" s="307">
        <v>0</v>
      </c>
      <c r="J17" s="307">
        <f>I17</f>
        <v>0</v>
      </c>
      <c r="K17" s="307">
        <v>0</v>
      </c>
      <c r="L17" s="307">
        <v>0</v>
      </c>
      <c r="M17" s="307">
        <v>0</v>
      </c>
      <c r="N17" s="307">
        <v>0</v>
      </c>
      <c r="O17" s="308">
        <f t="shared" si="0"/>
        <v>1531</v>
      </c>
      <c r="P17" s="309"/>
      <c r="Q17" s="308">
        <f>IF(G17=47.16,0,IF(G17&gt;47.16,L17*0.5,0))</f>
        <v>0</v>
      </c>
      <c r="R17" s="308">
        <f>H17+I17+J17+M17+Q17+K17</f>
        <v>1531</v>
      </c>
      <c r="S17" s="308">
        <f t="shared" si="1"/>
        <v>318.01</v>
      </c>
      <c r="T17" s="308">
        <f>R17-S17</f>
        <v>1212.99</v>
      </c>
      <c r="U17" s="310">
        <f t="shared" si="2"/>
        <v>6.4000000000000001E-2</v>
      </c>
      <c r="V17" s="308">
        <f>T17*U17</f>
        <v>77.631360000000001</v>
      </c>
      <c r="W17" s="308">
        <f t="shared" si="3"/>
        <v>6.15</v>
      </c>
      <c r="X17" s="308">
        <f>V17+W17</f>
        <v>83.781360000000006</v>
      </c>
      <c r="Y17" s="308">
        <f t="shared" si="4"/>
        <v>200.7</v>
      </c>
      <c r="Z17" s="308">
        <f>X17-Y17</f>
        <v>-116.91863999999998</v>
      </c>
      <c r="AA17" s="311"/>
      <c r="AB17" s="308">
        <v>0</v>
      </c>
      <c r="AC17" s="308">
        <f t="shared" si="5"/>
        <v>0</v>
      </c>
      <c r="AD17" s="308">
        <v>0</v>
      </c>
      <c r="AE17" s="307">
        <v>0</v>
      </c>
      <c r="AF17" s="307">
        <v>0</v>
      </c>
      <c r="AG17" s="312">
        <v>0</v>
      </c>
      <c r="AH17" s="308">
        <f t="shared" si="6"/>
        <v>0</v>
      </c>
      <c r="AI17" s="308">
        <f t="shared" si="7"/>
        <v>1531</v>
      </c>
      <c r="AJ17" s="205"/>
      <c r="AK17" s="302"/>
      <c r="AL17" s="110"/>
      <c r="AM17" s="101"/>
    </row>
    <row r="18" spans="1:45" s="99" customFormat="1" ht="43.5" customHeight="1" x14ac:dyDescent="0.35">
      <c r="A18" s="100"/>
      <c r="B18" s="171">
        <v>3</v>
      </c>
      <c r="C18" s="305" t="s">
        <v>165</v>
      </c>
      <c r="D18" s="304" t="s">
        <v>106</v>
      </c>
      <c r="E18" s="304"/>
      <c r="F18" s="304">
        <v>15</v>
      </c>
      <c r="G18" s="306">
        <v>98.14</v>
      </c>
      <c r="H18" s="205">
        <v>1531</v>
      </c>
      <c r="I18" s="307">
        <v>0</v>
      </c>
      <c r="J18" s="307">
        <f>I18</f>
        <v>0</v>
      </c>
      <c r="K18" s="307">
        <v>0</v>
      </c>
      <c r="L18" s="307">
        <v>0</v>
      </c>
      <c r="M18" s="307">
        <v>0</v>
      </c>
      <c r="N18" s="307">
        <v>0</v>
      </c>
      <c r="O18" s="308">
        <f t="shared" si="0"/>
        <v>1531</v>
      </c>
      <c r="P18" s="309"/>
      <c r="Q18" s="308">
        <f>IF(G18=47.16,0,IF(G18&gt;47.16,L18*0.5,0))</f>
        <v>0</v>
      </c>
      <c r="R18" s="308">
        <f>H18+I18+J18+M18+Q18+K18</f>
        <v>1531</v>
      </c>
      <c r="S18" s="308">
        <f t="shared" si="1"/>
        <v>318.01</v>
      </c>
      <c r="T18" s="308">
        <f>R18-S18</f>
        <v>1212.99</v>
      </c>
      <c r="U18" s="310">
        <f t="shared" si="2"/>
        <v>6.4000000000000001E-2</v>
      </c>
      <c r="V18" s="308">
        <f>T18*U18</f>
        <v>77.631360000000001</v>
      </c>
      <c r="W18" s="308">
        <f t="shared" si="3"/>
        <v>6.15</v>
      </c>
      <c r="X18" s="308">
        <f>V18+W18</f>
        <v>83.781360000000006</v>
      </c>
      <c r="Y18" s="308">
        <f t="shared" si="4"/>
        <v>200.7</v>
      </c>
      <c r="Z18" s="308">
        <f>X18-Y18</f>
        <v>-116.91863999999998</v>
      </c>
      <c r="AA18" s="311"/>
      <c r="AB18" s="308">
        <v>0</v>
      </c>
      <c r="AC18" s="308">
        <f t="shared" si="5"/>
        <v>0</v>
      </c>
      <c r="AD18" s="308">
        <v>0</v>
      </c>
      <c r="AE18" s="307">
        <v>0</v>
      </c>
      <c r="AF18" s="307">
        <v>0</v>
      </c>
      <c r="AG18" s="312">
        <v>0</v>
      </c>
      <c r="AH18" s="308">
        <f t="shared" si="6"/>
        <v>0</v>
      </c>
      <c r="AI18" s="308">
        <f t="shared" si="7"/>
        <v>1531</v>
      </c>
      <c r="AJ18" s="205"/>
      <c r="AK18" s="203"/>
      <c r="AL18" s="111"/>
    </row>
    <row r="19" spans="1:45" s="99" customFormat="1" ht="43.5" customHeight="1" x14ac:dyDescent="0.35">
      <c r="A19" s="100"/>
      <c r="B19" s="171">
        <v>4</v>
      </c>
      <c r="C19" s="305" t="s">
        <v>110</v>
      </c>
      <c r="D19" s="304" t="s">
        <v>106</v>
      </c>
      <c r="E19" s="304"/>
      <c r="F19" s="304">
        <v>15</v>
      </c>
      <c r="G19" s="306">
        <v>98.14</v>
      </c>
      <c r="H19" s="205">
        <v>1531</v>
      </c>
      <c r="I19" s="307">
        <v>0</v>
      </c>
      <c r="J19" s="307">
        <f>I19</f>
        <v>0</v>
      </c>
      <c r="K19" s="307">
        <v>0</v>
      </c>
      <c r="L19" s="307">
        <v>0</v>
      </c>
      <c r="M19" s="307">
        <v>0</v>
      </c>
      <c r="N19" s="307">
        <v>0</v>
      </c>
      <c r="O19" s="308">
        <f t="shared" si="0"/>
        <v>1531</v>
      </c>
      <c r="P19" s="309"/>
      <c r="Q19" s="308">
        <f>IF(G19=47.16,0,IF(G19&gt;47.16,L19*0.5,0))</f>
        <v>0</v>
      </c>
      <c r="R19" s="308">
        <f>H19+I19+J19+M19+Q19+K19</f>
        <v>1531</v>
      </c>
      <c r="S19" s="308">
        <f t="shared" si="1"/>
        <v>318.01</v>
      </c>
      <c r="T19" s="308">
        <f>R19-S19</f>
        <v>1212.99</v>
      </c>
      <c r="U19" s="310">
        <f t="shared" si="2"/>
        <v>6.4000000000000001E-2</v>
      </c>
      <c r="V19" s="308">
        <f>T19*U19</f>
        <v>77.631360000000001</v>
      </c>
      <c r="W19" s="308">
        <f t="shared" si="3"/>
        <v>6.15</v>
      </c>
      <c r="X19" s="308">
        <f>V19+W19</f>
        <v>83.781360000000006</v>
      </c>
      <c r="Y19" s="308">
        <f t="shared" si="4"/>
        <v>200.7</v>
      </c>
      <c r="Z19" s="308">
        <f>X19-Y19</f>
        <v>-116.91863999999998</v>
      </c>
      <c r="AA19" s="311"/>
      <c r="AB19" s="308">
        <v>0</v>
      </c>
      <c r="AC19" s="308">
        <f t="shared" si="5"/>
        <v>0</v>
      </c>
      <c r="AD19" s="308">
        <v>0</v>
      </c>
      <c r="AE19" s="307">
        <v>0</v>
      </c>
      <c r="AF19" s="307">
        <v>0</v>
      </c>
      <c r="AG19" s="312">
        <v>0</v>
      </c>
      <c r="AH19" s="308">
        <f t="shared" si="6"/>
        <v>0</v>
      </c>
      <c r="AI19" s="308">
        <f t="shared" si="7"/>
        <v>1531</v>
      </c>
      <c r="AJ19" s="205"/>
      <c r="AK19" s="203"/>
      <c r="AL19" s="111"/>
    </row>
    <row r="20" spans="1:45" s="99" customFormat="1" ht="43.5" customHeight="1" x14ac:dyDescent="0.35">
      <c r="A20" s="100"/>
      <c r="B20" s="171">
        <v>5</v>
      </c>
      <c r="C20" s="161" t="s">
        <v>186</v>
      </c>
      <c r="D20" s="191" t="s">
        <v>106</v>
      </c>
      <c r="E20" s="191"/>
      <c r="F20" s="191">
        <v>15</v>
      </c>
      <c r="G20" s="204">
        <v>98.14</v>
      </c>
      <c r="H20" s="205">
        <v>1531</v>
      </c>
      <c r="I20" s="206">
        <v>0</v>
      </c>
      <c r="J20" s="206">
        <f>I20</f>
        <v>0</v>
      </c>
      <c r="K20" s="206">
        <v>0</v>
      </c>
      <c r="L20" s="206">
        <v>0</v>
      </c>
      <c r="M20" s="206">
        <v>0</v>
      </c>
      <c r="N20" s="206">
        <v>0</v>
      </c>
      <c r="O20" s="205">
        <f t="shared" si="0"/>
        <v>1531</v>
      </c>
      <c r="P20" s="207"/>
      <c r="Q20" s="205">
        <f>IF(G20=47.16,0,IF(G20&gt;47.16,L20*0.5,0))</f>
        <v>0</v>
      </c>
      <c r="R20" s="205">
        <f>H20+I20+J20+M20+Q20+K20</f>
        <v>1531</v>
      </c>
      <c r="S20" s="205">
        <f t="shared" si="1"/>
        <v>318.01</v>
      </c>
      <c r="T20" s="205">
        <f>R20-S20</f>
        <v>1212.99</v>
      </c>
      <c r="U20" s="208">
        <f t="shared" si="2"/>
        <v>6.4000000000000001E-2</v>
      </c>
      <c r="V20" s="205">
        <f>T20*U20</f>
        <v>77.631360000000001</v>
      </c>
      <c r="W20" s="205">
        <f t="shared" si="3"/>
        <v>6.15</v>
      </c>
      <c r="X20" s="205">
        <f>V20+W20</f>
        <v>83.781360000000006</v>
      </c>
      <c r="Y20" s="205">
        <f t="shared" si="4"/>
        <v>200.7</v>
      </c>
      <c r="Z20" s="205">
        <f>X20-Y20</f>
        <v>-116.91863999999998</v>
      </c>
      <c r="AA20" s="209"/>
      <c r="AB20" s="205">
        <v>0</v>
      </c>
      <c r="AC20" s="205">
        <f t="shared" si="5"/>
        <v>0</v>
      </c>
      <c r="AD20" s="205">
        <v>0</v>
      </c>
      <c r="AE20" s="206">
        <v>0</v>
      </c>
      <c r="AF20" s="206">
        <v>0</v>
      </c>
      <c r="AG20" s="281">
        <v>0</v>
      </c>
      <c r="AH20" s="205">
        <f t="shared" si="6"/>
        <v>0</v>
      </c>
      <c r="AI20" s="205">
        <f t="shared" si="7"/>
        <v>1531</v>
      </c>
      <c r="AJ20" s="205"/>
      <c r="AK20" s="203"/>
      <c r="AL20" s="111"/>
    </row>
    <row r="21" spans="1:45" s="99" customFormat="1" ht="43.5" customHeight="1" x14ac:dyDescent="0.35">
      <c r="A21" s="100"/>
      <c r="B21" s="171">
        <v>6</v>
      </c>
      <c r="C21" s="161" t="s">
        <v>266</v>
      </c>
      <c r="D21" s="191" t="s">
        <v>106</v>
      </c>
      <c r="E21" s="191"/>
      <c r="F21" s="191">
        <v>15</v>
      </c>
      <c r="G21" s="204">
        <v>98.14</v>
      </c>
      <c r="H21" s="205">
        <v>1531</v>
      </c>
      <c r="I21" s="206">
        <v>0</v>
      </c>
      <c r="J21" s="206">
        <f t="shared" ref="J21:J22" si="8">I21</f>
        <v>0</v>
      </c>
      <c r="K21" s="206">
        <v>0</v>
      </c>
      <c r="L21" s="206">
        <v>0</v>
      </c>
      <c r="M21" s="206">
        <v>0</v>
      </c>
      <c r="N21" s="206">
        <v>0</v>
      </c>
      <c r="O21" s="205">
        <f t="shared" si="0"/>
        <v>1531</v>
      </c>
      <c r="P21" s="207"/>
      <c r="Q21" s="205">
        <f t="shared" ref="Q21:Q22" si="9">IF(G21=47.16,0,IF(G21&gt;47.16,L21*0.5,0))</f>
        <v>0</v>
      </c>
      <c r="R21" s="205">
        <f t="shared" ref="R21:R22" si="10">H21+I21+J21+M21+Q21+K21</f>
        <v>1531</v>
      </c>
      <c r="S21" s="205">
        <f t="shared" si="1"/>
        <v>318.01</v>
      </c>
      <c r="T21" s="205">
        <f t="shared" ref="T21:T22" si="11">R21-S21</f>
        <v>1212.99</v>
      </c>
      <c r="U21" s="208">
        <f t="shared" si="2"/>
        <v>6.4000000000000001E-2</v>
      </c>
      <c r="V21" s="205">
        <f t="shared" ref="V21:V22" si="12">T21*U21</f>
        <v>77.631360000000001</v>
      </c>
      <c r="W21" s="205">
        <f t="shared" si="3"/>
        <v>6.15</v>
      </c>
      <c r="X21" s="205">
        <f t="shared" ref="X21:X22" si="13">V21+W21</f>
        <v>83.781360000000006</v>
      </c>
      <c r="Y21" s="205">
        <f t="shared" si="4"/>
        <v>200.7</v>
      </c>
      <c r="Z21" s="205">
        <f t="shared" ref="Z21:Z22" si="14">X21-Y21</f>
        <v>-116.91863999999998</v>
      </c>
      <c r="AA21" s="209"/>
      <c r="AB21" s="205">
        <v>0</v>
      </c>
      <c r="AC21" s="205">
        <f t="shared" si="5"/>
        <v>0</v>
      </c>
      <c r="AD21" s="205">
        <v>0</v>
      </c>
      <c r="AE21" s="206">
        <v>0</v>
      </c>
      <c r="AF21" s="206">
        <v>0</v>
      </c>
      <c r="AG21" s="281">
        <v>0</v>
      </c>
      <c r="AH21" s="205">
        <f t="shared" si="6"/>
        <v>0</v>
      </c>
      <c r="AI21" s="205">
        <f t="shared" si="7"/>
        <v>1531</v>
      </c>
      <c r="AJ21" s="205"/>
      <c r="AK21" s="203"/>
      <c r="AL21" s="111"/>
    </row>
    <row r="22" spans="1:45" s="99" customFormat="1" ht="30.75" customHeight="1" x14ac:dyDescent="0.35">
      <c r="A22" s="100"/>
      <c r="B22" s="171">
        <v>7</v>
      </c>
      <c r="C22" s="160" t="s">
        <v>267</v>
      </c>
      <c r="D22" s="191" t="s">
        <v>106</v>
      </c>
      <c r="E22" s="171"/>
      <c r="F22" s="171">
        <v>15</v>
      </c>
      <c r="G22" s="204">
        <v>98.14</v>
      </c>
      <c r="H22" s="205">
        <v>1531</v>
      </c>
      <c r="I22" s="206">
        <v>0</v>
      </c>
      <c r="J22" s="206">
        <f t="shared" si="8"/>
        <v>0</v>
      </c>
      <c r="K22" s="206">
        <v>0</v>
      </c>
      <c r="L22" s="206">
        <v>0</v>
      </c>
      <c r="M22" s="206">
        <v>0</v>
      </c>
      <c r="N22" s="206">
        <v>0</v>
      </c>
      <c r="O22" s="205">
        <f t="shared" si="0"/>
        <v>1531</v>
      </c>
      <c r="P22" s="207"/>
      <c r="Q22" s="205">
        <f t="shared" si="9"/>
        <v>0</v>
      </c>
      <c r="R22" s="205">
        <f t="shared" si="10"/>
        <v>1531</v>
      </c>
      <c r="S22" s="205">
        <f t="shared" si="1"/>
        <v>318.01</v>
      </c>
      <c r="T22" s="205">
        <f t="shared" si="11"/>
        <v>1212.99</v>
      </c>
      <c r="U22" s="208">
        <f t="shared" si="2"/>
        <v>6.4000000000000001E-2</v>
      </c>
      <c r="V22" s="205">
        <f t="shared" si="12"/>
        <v>77.631360000000001</v>
      </c>
      <c r="W22" s="205">
        <f t="shared" si="3"/>
        <v>6.15</v>
      </c>
      <c r="X22" s="205">
        <f t="shared" si="13"/>
        <v>83.781360000000006</v>
      </c>
      <c r="Y22" s="205">
        <f t="shared" si="4"/>
        <v>200.7</v>
      </c>
      <c r="Z22" s="205">
        <f t="shared" si="14"/>
        <v>-116.91863999999998</v>
      </c>
      <c r="AA22" s="207"/>
      <c r="AB22" s="205">
        <v>0</v>
      </c>
      <c r="AC22" s="205">
        <f t="shared" si="5"/>
        <v>0</v>
      </c>
      <c r="AD22" s="205">
        <v>0</v>
      </c>
      <c r="AE22" s="206">
        <v>0</v>
      </c>
      <c r="AF22" s="206">
        <v>0</v>
      </c>
      <c r="AG22" s="281">
        <v>0</v>
      </c>
      <c r="AH22" s="205">
        <f t="shared" si="6"/>
        <v>0</v>
      </c>
      <c r="AI22" s="205">
        <f t="shared" si="7"/>
        <v>1531</v>
      </c>
      <c r="AJ22" s="171"/>
      <c r="AK22" s="302"/>
      <c r="AL22" s="110"/>
    </row>
    <row r="23" spans="1:45" x14ac:dyDescent="0.35">
      <c r="B23" s="178"/>
      <c r="C23" s="200"/>
      <c r="D23" s="178"/>
      <c r="E23" s="178"/>
      <c r="F23" s="178"/>
      <c r="G23" s="178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0"/>
      <c r="T23" s="221"/>
      <c r="U23" s="221"/>
      <c r="V23" s="221"/>
      <c r="W23" s="221"/>
      <c r="X23" s="221"/>
      <c r="Y23" s="220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01"/>
      <c r="AK23" s="203"/>
    </row>
    <row r="24" spans="1:45" ht="16" thickBot="1" x14ac:dyDescent="0.4">
      <c r="B24" s="451" t="s">
        <v>68</v>
      </c>
      <c r="C24" s="452"/>
      <c r="D24" s="452"/>
      <c r="E24" s="452"/>
      <c r="F24" s="452"/>
      <c r="G24" s="453"/>
      <c r="H24" s="222">
        <f t="shared" ref="H24:O24" si="15">SUM(H16:H22)</f>
        <v>10717</v>
      </c>
      <c r="I24" s="222">
        <f t="shared" si="15"/>
        <v>0</v>
      </c>
      <c r="J24" s="222">
        <f t="shared" si="15"/>
        <v>0</v>
      </c>
      <c r="K24" s="222">
        <f t="shared" si="15"/>
        <v>0</v>
      </c>
      <c r="L24" s="222">
        <f t="shared" si="15"/>
        <v>0</v>
      </c>
      <c r="M24" s="222">
        <f t="shared" si="15"/>
        <v>0</v>
      </c>
      <c r="N24" s="222">
        <f t="shared" si="15"/>
        <v>0</v>
      </c>
      <c r="O24" s="222">
        <f t="shared" si="15"/>
        <v>10717</v>
      </c>
      <c r="P24" s="222"/>
      <c r="Q24" s="222">
        <f t="shared" ref="Q24:Z24" si="16">SUM(Q16:Q22)</f>
        <v>0</v>
      </c>
      <c r="R24" s="222">
        <f t="shared" si="16"/>
        <v>10717</v>
      </c>
      <c r="S24" s="222">
        <f t="shared" si="16"/>
        <v>2226.0699999999997</v>
      </c>
      <c r="T24" s="222">
        <f t="shared" si="16"/>
        <v>8490.93</v>
      </c>
      <c r="U24" s="222">
        <f t="shared" si="16"/>
        <v>0.44800000000000001</v>
      </c>
      <c r="V24" s="222">
        <f t="shared" si="16"/>
        <v>543.41951999999992</v>
      </c>
      <c r="W24" s="222">
        <f t="shared" si="16"/>
        <v>43.05</v>
      </c>
      <c r="X24" s="222">
        <f t="shared" si="16"/>
        <v>586.4695200000001</v>
      </c>
      <c r="Y24" s="222">
        <f t="shared" si="16"/>
        <v>1404.9</v>
      </c>
      <c r="Z24" s="222">
        <f t="shared" si="16"/>
        <v>-818.43047999999987</v>
      </c>
      <c r="AA24" s="222"/>
      <c r="AB24" s="222">
        <f t="shared" ref="AB24:AH24" si="17">SUM(AB16:AB22)</f>
        <v>0</v>
      </c>
      <c r="AC24" s="222">
        <f t="shared" si="17"/>
        <v>0</v>
      </c>
      <c r="AD24" s="222">
        <f t="shared" si="17"/>
        <v>0</v>
      </c>
      <c r="AE24" s="222">
        <f t="shared" si="17"/>
        <v>0</v>
      </c>
      <c r="AF24" s="222">
        <f t="shared" si="17"/>
        <v>0</v>
      </c>
      <c r="AG24" s="222">
        <f t="shared" si="17"/>
        <v>0</v>
      </c>
      <c r="AH24" s="222">
        <f t="shared" si="17"/>
        <v>0</v>
      </c>
      <c r="AI24" s="222">
        <f>SUM(AI16:AI22)</f>
        <v>10717</v>
      </c>
      <c r="AJ24" s="201"/>
      <c r="AK24" s="203"/>
      <c r="AL24" s="110">
        <f>O24+AB24-AH24</f>
        <v>10717</v>
      </c>
    </row>
    <row r="25" spans="1:45" ht="16" thickTop="1" x14ac:dyDescent="0.35">
      <c r="B25" s="201"/>
      <c r="C25" s="202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3"/>
    </row>
    <row r="26" spans="1:45" x14ac:dyDescent="0.35">
      <c r="B26" s="201"/>
      <c r="C26" s="202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3"/>
    </row>
    <row r="27" spans="1:45" x14ac:dyDescent="0.35">
      <c r="B27" s="201"/>
      <c r="C27" s="202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3"/>
    </row>
    <row r="28" spans="1:45" x14ac:dyDescent="0.35">
      <c r="B28" s="201"/>
      <c r="C28" s="202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3"/>
    </row>
    <row r="29" spans="1:45" x14ac:dyDescent="0.35">
      <c r="B29" s="201"/>
      <c r="C29" s="202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3"/>
    </row>
    <row r="30" spans="1:45" x14ac:dyDescent="0.35">
      <c r="B30" s="201"/>
      <c r="C30" s="202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3"/>
    </row>
    <row r="31" spans="1:45" x14ac:dyDescent="0.35">
      <c r="B31" s="201"/>
      <c r="C31" s="202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3"/>
    </row>
    <row r="32" spans="1:45" x14ac:dyDescent="0.35">
      <c r="B32" s="201"/>
      <c r="C32" s="202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3"/>
      <c r="AR32" s="118"/>
      <c r="AS32" s="103" t="s">
        <v>207</v>
      </c>
    </row>
    <row r="33" spans="1:45" ht="16" thickBot="1" x14ac:dyDescent="0.4">
      <c r="A33" s="103" t="s">
        <v>102</v>
      </c>
      <c r="B33" s="201"/>
      <c r="C33" s="223"/>
      <c r="D33" s="224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24"/>
      <c r="AC33" s="224"/>
      <c r="AD33" s="201"/>
      <c r="AE33" s="201"/>
      <c r="AF33" s="201"/>
      <c r="AG33" s="224"/>
      <c r="AH33" s="224"/>
      <c r="AI33" s="224"/>
      <c r="AJ33" s="224"/>
      <c r="AK33" s="203"/>
      <c r="AR33" s="119"/>
      <c r="AS33" s="103" t="s">
        <v>208</v>
      </c>
    </row>
    <row r="34" spans="1:45" ht="31.5" customHeight="1" x14ac:dyDescent="0.35">
      <c r="B34" s="201"/>
      <c r="C34" s="417" t="s">
        <v>306</v>
      </c>
      <c r="D34" s="417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454" t="s">
        <v>291</v>
      </c>
      <c r="AC34" s="454"/>
      <c r="AD34" s="454"/>
      <c r="AE34" s="454"/>
      <c r="AF34" s="454"/>
      <c r="AG34" s="454"/>
      <c r="AH34" s="454"/>
      <c r="AI34" s="454"/>
      <c r="AJ34" s="454"/>
      <c r="AK34" s="203"/>
    </row>
    <row r="35" spans="1:45" ht="31.5" customHeight="1" x14ac:dyDescent="0.35">
      <c r="B35" s="201"/>
      <c r="C35" s="406" t="s">
        <v>307</v>
      </c>
      <c r="D35" s="406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440" t="s">
        <v>104</v>
      </c>
      <c r="AC35" s="440"/>
      <c r="AD35" s="440"/>
      <c r="AE35" s="440"/>
      <c r="AF35" s="440"/>
      <c r="AG35" s="440"/>
      <c r="AH35" s="440"/>
      <c r="AI35" s="440"/>
      <c r="AJ35" s="440"/>
      <c r="AK35" s="203"/>
    </row>
    <row r="36" spans="1:45" x14ac:dyDescent="0.35">
      <c r="B36" s="255"/>
      <c r="C36" s="202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6"/>
    </row>
    <row r="37" spans="1:45" x14ac:dyDescent="0.35">
      <c r="B37" s="255"/>
      <c r="C37" s="202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6"/>
    </row>
    <row r="38" spans="1:45" x14ac:dyDescent="0.35">
      <c r="B38" s="255"/>
      <c r="C38" s="202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6"/>
    </row>
    <row r="39" spans="1:45" x14ac:dyDescent="0.35">
      <c r="B39" s="255"/>
      <c r="C39" s="202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313"/>
      <c r="AI39" s="314"/>
      <c r="AJ39" s="255"/>
      <c r="AK39" s="256"/>
    </row>
    <row r="40" spans="1:45" x14ac:dyDescent="0.35">
      <c r="B40" s="255"/>
      <c r="C40" s="202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313"/>
      <c r="AI40" s="314"/>
      <c r="AJ40" s="255"/>
      <c r="AK40" s="256"/>
    </row>
    <row r="41" spans="1:45" x14ac:dyDescent="0.35">
      <c r="B41" s="255"/>
      <c r="C41" s="202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313"/>
      <c r="AI41" s="314"/>
      <c r="AJ41" s="255"/>
      <c r="AK41" s="256"/>
    </row>
    <row r="42" spans="1:45" x14ac:dyDescent="0.35">
      <c r="AH42" s="112"/>
      <c r="AI42" s="112"/>
    </row>
    <row r="43" spans="1:45" x14ac:dyDescent="0.35">
      <c r="AI43" s="108"/>
    </row>
  </sheetData>
  <mergeCells count="16">
    <mergeCell ref="H14:H15"/>
    <mergeCell ref="O14:O15"/>
    <mergeCell ref="AB13:AB15"/>
    <mergeCell ref="AH14:AH15"/>
    <mergeCell ref="AI13:AI15"/>
    <mergeCell ref="N14:N15"/>
    <mergeCell ref="B11:AI11"/>
    <mergeCell ref="B12:AI12"/>
    <mergeCell ref="H13:O13"/>
    <mergeCell ref="S13:X13"/>
    <mergeCell ref="AC13:AH13"/>
    <mergeCell ref="C34:D34"/>
    <mergeCell ref="C35:D35"/>
    <mergeCell ref="B24:G24"/>
    <mergeCell ref="AB34:AJ34"/>
    <mergeCell ref="AB35:AJ35"/>
  </mergeCells>
  <pageMargins left="0.70866141732283472" right="0.70866141732283472" top="0.74803149606299213" bottom="0.74803149606299213" header="0.31496062992125984" footer="0.31496062992125984"/>
  <pageSetup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K66"/>
  <sheetViews>
    <sheetView showGridLines="0" topLeftCell="A11" workbookViewId="0">
      <selection activeCell="D26" sqref="D26"/>
    </sheetView>
  </sheetViews>
  <sheetFormatPr baseColWidth="10" defaultRowHeight="12.5" x14ac:dyDescent="0.25"/>
  <cols>
    <col min="2" max="2" width="31" style="151" customWidth="1"/>
    <col min="3" max="3" width="17.1796875" style="152" customWidth="1"/>
    <col min="4" max="4" width="22.7265625" customWidth="1"/>
    <col min="5" max="5" width="13.1796875" customWidth="1"/>
    <col min="6" max="6" width="13.453125" customWidth="1"/>
    <col min="7" max="7" width="13.81640625" style="109" customWidth="1"/>
    <col min="8" max="8" width="27.81640625" customWidth="1"/>
    <col min="9" max="35" width="0" hidden="1" customWidth="1"/>
  </cols>
  <sheetData>
    <row r="2" spans="1:36" x14ac:dyDescent="0.25">
      <c r="A2" s="327"/>
      <c r="B2" s="328"/>
      <c r="C2" s="328"/>
      <c r="D2" s="327"/>
      <c r="E2" s="327"/>
      <c r="F2" s="327"/>
      <c r="G2" s="327"/>
      <c r="H2" s="327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</row>
    <row r="3" spans="1:36" ht="20.25" customHeight="1" x14ac:dyDescent="0.25">
      <c r="A3" s="327"/>
      <c r="B3" s="468" t="s">
        <v>215</v>
      </c>
      <c r="C3" s="468"/>
      <c r="D3" s="468"/>
      <c r="E3" s="468"/>
      <c r="F3" s="468"/>
      <c r="G3" s="468"/>
      <c r="H3" s="468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</row>
    <row r="4" spans="1:36" x14ac:dyDescent="0.25">
      <c r="A4" s="327"/>
      <c r="B4" s="328"/>
      <c r="C4" s="328"/>
      <c r="D4" s="327"/>
      <c r="E4" s="327"/>
      <c r="F4" s="327"/>
      <c r="G4" s="327"/>
      <c r="H4" s="327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</row>
    <row r="5" spans="1:36" x14ac:dyDescent="0.25">
      <c r="A5" s="327"/>
      <c r="B5" s="328"/>
      <c r="C5" s="328"/>
      <c r="D5" s="327"/>
      <c r="E5" s="327"/>
      <c r="F5" s="327"/>
      <c r="G5" s="327"/>
      <c r="H5" s="327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</row>
    <row r="6" spans="1:36" ht="13.5" x14ac:dyDescent="0.25">
      <c r="A6" s="407" t="str">
        <f>REGIDORES!B11</f>
        <v>NOMINA DEL 01 AL 15 DE DICIEMBRE DEL 2021</v>
      </c>
      <c r="B6" s="407"/>
      <c r="C6" s="407"/>
      <c r="D6" s="407"/>
      <c r="E6" s="407"/>
      <c r="F6" s="407"/>
      <c r="G6" s="407"/>
      <c r="H6" s="407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</row>
    <row r="7" spans="1:36" ht="13" x14ac:dyDescent="0.25">
      <c r="A7" s="462" t="s">
        <v>287</v>
      </c>
      <c r="B7" s="474" t="s">
        <v>43</v>
      </c>
      <c r="C7" s="474" t="s">
        <v>101</v>
      </c>
      <c r="D7" s="176"/>
      <c r="E7" s="315" t="s">
        <v>285</v>
      </c>
      <c r="F7" s="315" t="s">
        <v>9</v>
      </c>
      <c r="G7" s="474" t="s">
        <v>206</v>
      </c>
      <c r="H7" s="462" t="s">
        <v>100</v>
      </c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</row>
    <row r="8" spans="1:36" ht="13" x14ac:dyDescent="0.25">
      <c r="A8" s="463"/>
      <c r="B8" s="475"/>
      <c r="C8" s="475"/>
      <c r="D8" s="315" t="s">
        <v>216</v>
      </c>
      <c r="E8" s="316" t="s">
        <v>44</v>
      </c>
      <c r="F8" s="315" t="s">
        <v>45</v>
      </c>
      <c r="G8" s="475"/>
      <c r="H8" s="463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</row>
    <row r="9" spans="1:36" ht="13" x14ac:dyDescent="0.25">
      <c r="A9" s="464"/>
      <c r="B9" s="476"/>
      <c r="C9" s="476"/>
      <c r="D9" s="315"/>
      <c r="E9" s="315"/>
      <c r="F9" s="315"/>
      <c r="G9" s="476"/>
      <c r="H9" s="464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</row>
    <row r="10" spans="1:36" ht="25" x14ac:dyDescent="0.25">
      <c r="A10" s="176">
        <v>1</v>
      </c>
      <c r="B10" s="247" t="s">
        <v>420</v>
      </c>
      <c r="C10" s="247" t="s">
        <v>217</v>
      </c>
      <c r="D10" s="317"/>
      <c r="E10" s="317">
        <v>15</v>
      </c>
      <c r="F10" s="329">
        <v>92.6</v>
      </c>
      <c r="G10" s="205">
        <f>E10*F10</f>
        <v>1389</v>
      </c>
      <c r="H10" s="205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</row>
    <row r="11" spans="1:36" ht="25" x14ac:dyDescent="0.25">
      <c r="A11" s="176">
        <v>2</v>
      </c>
      <c r="B11" s="247" t="s">
        <v>375</v>
      </c>
      <c r="C11" s="247" t="s">
        <v>218</v>
      </c>
      <c r="D11" s="317"/>
      <c r="E11" s="317">
        <v>15</v>
      </c>
      <c r="F11" s="329">
        <v>133.33000000000001</v>
      </c>
      <c r="G11" s="205">
        <v>2000</v>
      </c>
      <c r="H11" s="205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</row>
    <row r="12" spans="1:36" ht="25" x14ac:dyDescent="0.25">
      <c r="A12" s="176">
        <v>3</v>
      </c>
      <c r="B12" s="247" t="s">
        <v>374</v>
      </c>
      <c r="C12" s="247" t="s">
        <v>300</v>
      </c>
      <c r="D12" s="317"/>
      <c r="E12" s="317">
        <v>15</v>
      </c>
      <c r="F12" s="329">
        <v>86.73</v>
      </c>
      <c r="G12" s="205">
        <v>1301</v>
      </c>
      <c r="H12" s="205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</row>
    <row r="13" spans="1:36" ht="25" x14ac:dyDescent="0.25">
      <c r="A13" s="176">
        <v>4</v>
      </c>
      <c r="B13" s="247" t="s">
        <v>446</v>
      </c>
      <c r="C13" s="161" t="s">
        <v>301</v>
      </c>
      <c r="D13" s="317"/>
      <c r="E13" s="317">
        <v>15</v>
      </c>
      <c r="F13" s="329">
        <v>86.73</v>
      </c>
      <c r="G13" s="205">
        <v>1301</v>
      </c>
      <c r="H13" s="205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</row>
    <row r="14" spans="1:36" ht="25" x14ac:dyDescent="0.25">
      <c r="A14" s="176">
        <v>5</v>
      </c>
      <c r="B14" s="247" t="s">
        <v>373</v>
      </c>
      <c r="C14" s="247" t="s">
        <v>229</v>
      </c>
      <c r="D14" s="317"/>
      <c r="E14" s="317">
        <v>15</v>
      </c>
      <c r="F14" s="329">
        <v>80</v>
      </c>
      <c r="G14" s="205">
        <v>1200</v>
      </c>
      <c r="H14" s="205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</row>
    <row r="15" spans="1:36" ht="25" x14ac:dyDescent="0.25">
      <c r="A15" s="176">
        <v>6</v>
      </c>
      <c r="B15" s="247" t="s">
        <v>442</v>
      </c>
      <c r="C15" s="247" t="s">
        <v>229</v>
      </c>
      <c r="D15" s="317"/>
      <c r="E15" s="317">
        <v>15</v>
      </c>
      <c r="F15" s="329">
        <v>100</v>
      </c>
      <c r="G15" s="205">
        <v>1500</v>
      </c>
      <c r="H15" s="205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</row>
    <row r="16" spans="1:36" ht="25" x14ac:dyDescent="0.25">
      <c r="A16" s="176">
        <v>7</v>
      </c>
      <c r="B16" s="161" t="s">
        <v>473</v>
      </c>
      <c r="C16" s="247" t="s">
        <v>329</v>
      </c>
      <c r="D16" s="317"/>
      <c r="E16" s="317">
        <v>15</v>
      </c>
      <c r="F16" s="329">
        <v>65.39</v>
      </c>
      <c r="G16" s="205">
        <f>E16*F16</f>
        <v>980.85</v>
      </c>
      <c r="H16" s="205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</row>
    <row r="17" spans="1:37" s="141" customFormat="1" ht="14" x14ac:dyDescent="0.3">
      <c r="A17" s="176">
        <v>8</v>
      </c>
      <c r="B17" s="211" t="s">
        <v>426</v>
      </c>
      <c r="C17" s="211" t="s">
        <v>271</v>
      </c>
      <c r="D17" s="176"/>
      <c r="E17" s="317">
        <v>15</v>
      </c>
      <c r="F17" s="330">
        <v>80</v>
      </c>
      <c r="G17" s="331">
        <v>1200</v>
      </c>
      <c r="H17" s="176"/>
      <c r="I17" s="266" t="s">
        <v>272</v>
      </c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</row>
    <row r="18" spans="1:37" s="141" customFormat="1" ht="25" x14ac:dyDescent="0.3">
      <c r="A18" s="176">
        <v>9</v>
      </c>
      <c r="B18" s="211" t="s">
        <v>279</v>
      </c>
      <c r="C18" s="211" t="s">
        <v>280</v>
      </c>
      <c r="D18" s="176"/>
      <c r="E18" s="317">
        <v>15</v>
      </c>
      <c r="F18" s="330">
        <v>88.67</v>
      </c>
      <c r="G18" s="331">
        <v>1330</v>
      </c>
      <c r="H18" s="17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</row>
    <row r="19" spans="1:37" s="141" customFormat="1" ht="25" x14ac:dyDescent="0.3">
      <c r="A19" s="176">
        <v>10</v>
      </c>
      <c r="B19" s="211" t="s">
        <v>424</v>
      </c>
      <c r="C19" s="247" t="s">
        <v>324</v>
      </c>
      <c r="D19" s="176"/>
      <c r="E19" s="317">
        <v>15</v>
      </c>
      <c r="F19" s="330">
        <v>64.53</v>
      </c>
      <c r="G19" s="331">
        <v>968</v>
      </c>
      <c r="H19" s="17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</row>
    <row r="20" spans="1:37" x14ac:dyDescent="0.25">
      <c r="A20" s="176">
        <v>11</v>
      </c>
      <c r="B20" s="211" t="s">
        <v>331</v>
      </c>
      <c r="C20" s="211"/>
      <c r="D20" s="176"/>
      <c r="E20" s="176"/>
      <c r="F20" s="176">
        <v>80</v>
      </c>
      <c r="G20" s="207">
        <v>1200</v>
      </c>
      <c r="H20" s="176"/>
      <c r="I20" s="266" t="s">
        <v>272</v>
      </c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</row>
    <row r="21" spans="1:37" ht="13.5" thickBot="1" x14ac:dyDescent="0.3">
      <c r="A21" s="470" t="s">
        <v>68</v>
      </c>
      <c r="B21" s="471"/>
      <c r="C21" s="471"/>
      <c r="D21" s="471"/>
      <c r="E21" s="471"/>
      <c r="F21" s="472"/>
      <c r="G21" s="332">
        <f>SUM(G10:G20)</f>
        <v>14369.85</v>
      </c>
      <c r="H21" s="327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157"/>
    </row>
    <row r="22" spans="1:37" ht="13" thickTop="1" x14ac:dyDescent="0.25">
      <c r="A22" s="327"/>
      <c r="B22" s="328"/>
      <c r="C22" s="328"/>
      <c r="D22" s="327"/>
      <c r="E22" s="327"/>
      <c r="F22" s="327"/>
      <c r="G22" s="327"/>
      <c r="H22" s="327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</row>
    <row r="23" spans="1:37" x14ac:dyDescent="0.25">
      <c r="A23" s="327"/>
      <c r="B23" s="328"/>
      <c r="C23" s="328"/>
      <c r="D23" s="327"/>
      <c r="E23" s="327"/>
      <c r="F23" s="327"/>
      <c r="G23" s="333"/>
      <c r="H23" s="327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</row>
    <row r="24" spans="1:37" ht="13" thickBot="1" x14ac:dyDescent="0.3">
      <c r="A24" s="327"/>
      <c r="B24" s="328"/>
      <c r="C24" s="328"/>
      <c r="D24" s="327"/>
      <c r="E24" s="327"/>
      <c r="F24" s="327"/>
      <c r="G24" s="334"/>
      <c r="H24" s="335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</row>
    <row r="25" spans="1:37" ht="15" customHeight="1" x14ac:dyDescent="0.25">
      <c r="A25" s="473" t="s">
        <v>299</v>
      </c>
      <c r="B25" s="473"/>
      <c r="C25" s="328"/>
      <c r="D25" s="182"/>
      <c r="E25" s="182"/>
      <c r="F25" s="182"/>
      <c r="G25" s="469" t="s">
        <v>330</v>
      </c>
      <c r="H25" s="469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</row>
    <row r="26" spans="1:37" ht="13" x14ac:dyDescent="0.25">
      <c r="A26" s="468" t="s">
        <v>274</v>
      </c>
      <c r="B26" s="468"/>
      <c r="C26" s="328"/>
      <c r="D26" s="327"/>
      <c r="E26" s="327"/>
      <c r="F26" s="327"/>
      <c r="G26" s="468" t="s">
        <v>219</v>
      </c>
      <c r="H26" s="468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</row>
    <row r="27" spans="1:37" x14ac:dyDescent="0.25">
      <c r="A27" s="266"/>
      <c r="B27" s="328"/>
      <c r="C27" s="33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</row>
    <row r="28" spans="1:37" x14ac:dyDescent="0.25">
      <c r="A28" s="266"/>
      <c r="B28" s="328"/>
      <c r="C28" s="33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</row>
    <row r="29" spans="1:37" x14ac:dyDescent="0.25">
      <c r="A29" s="266"/>
      <c r="B29" s="337"/>
      <c r="C29" s="338"/>
      <c r="D29" s="266"/>
      <c r="E29" s="266"/>
      <c r="F29" s="266"/>
      <c r="G29" s="266"/>
      <c r="H29" s="339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</row>
    <row r="30" spans="1:37" ht="15" customHeight="1" x14ac:dyDescent="0.25">
      <c r="A30" s="266"/>
      <c r="B30" s="328"/>
      <c r="C30" s="33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</row>
    <row r="31" spans="1:37" ht="15" customHeight="1" x14ac:dyDescent="0.25">
      <c r="A31" s="266"/>
      <c r="B31" s="328"/>
      <c r="C31" s="33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</row>
    <row r="32" spans="1:37" ht="20.25" customHeight="1" x14ac:dyDescent="0.25">
      <c r="A32" s="266"/>
      <c r="B32" s="328"/>
      <c r="C32" s="33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</row>
    <row r="33" spans="1:36" x14ac:dyDescent="0.25">
      <c r="A33" s="266"/>
      <c r="B33" s="328"/>
      <c r="C33" s="33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</row>
    <row r="34" spans="1:36" hidden="1" x14ac:dyDescent="0.25">
      <c r="A34" s="266"/>
      <c r="B34" s="328"/>
      <c r="C34" s="336"/>
      <c r="D34" s="266"/>
      <c r="E34" s="266"/>
      <c r="F34" s="266"/>
      <c r="G34" s="340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</row>
    <row r="35" spans="1:36" hidden="1" x14ac:dyDescent="0.25">
      <c r="A35" s="266"/>
      <c r="B35" s="328"/>
      <c r="C35" s="336"/>
      <c r="D35" s="266"/>
      <c r="E35" s="266"/>
      <c r="F35" s="266"/>
      <c r="G35" s="340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</row>
    <row r="36" spans="1:36" hidden="1" x14ac:dyDescent="0.25">
      <c r="A36" s="266"/>
      <c r="B36" s="328"/>
      <c r="C36" s="336"/>
      <c r="D36" s="266"/>
      <c r="E36" s="266" t="s">
        <v>197</v>
      </c>
      <c r="F36" s="266"/>
      <c r="G36" s="340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</row>
    <row r="37" spans="1:36" hidden="1" x14ac:dyDescent="0.25">
      <c r="A37" s="266"/>
      <c r="B37" s="328"/>
      <c r="C37" s="336"/>
      <c r="D37" s="266"/>
      <c r="E37" s="266" t="s">
        <v>198</v>
      </c>
      <c r="F37" s="266"/>
      <c r="G37" s="340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</row>
    <row r="38" spans="1:36" hidden="1" x14ac:dyDescent="0.25">
      <c r="A38" s="266"/>
      <c r="B38" s="328"/>
      <c r="C38" s="336"/>
      <c r="D38" s="266"/>
      <c r="E38" s="266"/>
      <c r="F38" s="266"/>
      <c r="G38" s="340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</row>
    <row r="39" spans="1:36" hidden="1" x14ac:dyDescent="0.25">
      <c r="A39" s="266"/>
      <c r="B39" s="328"/>
      <c r="C39" s="33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</row>
    <row r="40" spans="1:36" hidden="1" x14ac:dyDescent="0.25">
      <c r="A40" s="266"/>
      <c r="B40" s="328"/>
      <c r="C40" s="336"/>
      <c r="D40" s="266"/>
      <c r="E40" s="266"/>
      <c r="F40" s="266"/>
      <c r="G40" s="340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</row>
    <row r="41" spans="1:36" ht="13" x14ac:dyDescent="0.3">
      <c r="A41" s="266"/>
      <c r="B41" s="336"/>
      <c r="C41" s="336"/>
      <c r="D41" s="183" t="s">
        <v>262</v>
      </c>
      <c r="E41" s="266"/>
      <c r="F41" s="183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</row>
    <row r="42" spans="1:36" x14ac:dyDescent="0.25">
      <c r="A42" s="266"/>
      <c r="B42" s="336"/>
      <c r="C42" s="33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</row>
    <row r="43" spans="1:36" ht="13.5" x14ac:dyDescent="0.25">
      <c r="A43" s="465" t="s">
        <v>262</v>
      </c>
      <c r="B43" s="465"/>
      <c r="C43" s="465"/>
      <c r="D43" s="465"/>
      <c r="E43" s="465"/>
      <c r="F43" s="465"/>
      <c r="G43" s="465"/>
      <c r="H43" s="465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</row>
    <row r="44" spans="1:36" ht="13.5" x14ac:dyDescent="0.3">
      <c r="A44" s="466" t="str">
        <f>REGIDORES!B11</f>
        <v>NOMINA DEL 01 AL 15 DE DICIEMBRE DEL 2021</v>
      </c>
      <c r="B44" s="466"/>
      <c r="C44" s="466"/>
      <c r="D44" s="466"/>
      <c r="E44" s="466"/>
      <c r="F44" s="466"/>
      <c r="G44" s="466"/>
      <c r="H44" s="4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</row>
    <row r="45" spans="1:36" ht="13" x14ac:dyDescent="0.3">
      <c r="A45" s="341"/>
      <c r="B45" s="342"/>
      <c r="C45" s="342"/>
      <c r="D45" s="341"/>
      <c r="E45" s="318" t="s">
        <v>285</v>
      </c>
      <c r="F45" s="318" t="s">
        <v>9</v>
      </c>
      <c r="G45" s="319" t="s">
        <v>0</v>
      </c>
      <c r="H45" s="462" t="s">
        <v>100</v>
      </c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</row>
    <row r="46" spans="1:36" ht="13" x14ac:dyDescent="0.3">
      <c r="A46" s="320" t="s">
        <v>287</v>
      </c>
      <c r="B46" s="321" t="s">
        <v>43</v>
      </c>
      <c r="C46" s="321" t="s">
        <v>101</v>
      </c>
      <c r="D46" s="320" t="s">
        <v>216</v>
      </c>
      <c r="E46" s="322" t="s">
        <v>44</v>
      </c>
      <c r="F46" s="320" t="s">
        <v>45</v>
      </c>
      <c r="G46" s="321" t="s">
        <v>6</v>
      </c>
      <c r="H46" s="463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</row>
    <row r="47" spans="1:36" ht="13" x14ac:dyDescent="0.3">
      <c r="A47" s="323"/>
      <c r="B47" s="324"/>
      <c r="C47" s="324"/>
      <c r="D47" s="323"/>
      <c r="E47" s="323"/>
      <c r="F47" s="323"/>
      <c r="G47" s="324" t="s">
        <v>7</v>
      </c>
      <c r="H47" s="464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</row>
    <row r="48" spans="1:36" s="129" customFormat="1" ht="25" x14ac:dyDescent="0.25">
      <c r="A48" s="325">
        <v>1</v>
      </c>
      <c r="B48" s="343" t="s">
        <v>263</v>
      </c>
      <c r="C48" s="343" t="s">
        <v>259</v>
      </c>
      <c r="D48" s="326"/>
      <c r="E48" s="326">
        <v>15</v>
      </c>
      <c r="F48" s="344">
        <v>129.80000000000001</v>
      </c>
      <c r="G48" s="345">
        <v>1947</v>
      </c>
      <c r="H48" s="345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</row>
    <row r="49" spans="1:36" s="129" customFormat="1" ht="31.5" customHeight="1" x14ac:dyDescent="0.25">
      <c r="A49" s="325">
        <v>2</v>
      </c>
      <c r="B49" s="161" t="s">
        <v>348</v>
      </c>
      <c r="C49" s="343" t="s">
        <v>264</v>
      </c>
      <c r="D49" s="326" t="s">
        <v>346</v>
      </c>
      <c r="E49" s="326">
        <v>15</v>
      </c>
      <c r="F49" s="344">
        <v>89.07</v>
      </c>
      <c r="G49" s="345">
        <v>1336</v>
      </c>
      <c r="H49" s="345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</row>
    <row r="50" spans="1:36" s="129" customFormat="1" ht="25" x14ac:dyDescent="0.25">
      <c r="A50" s="325">
        <v>3</v>
      </c>
      <c r="B50" s="161" t="s">
        <v>470</v>
      </c>
      <c r="C50" s="343" t="s">
        <v>265</v>
      </c>
      <c r="D50" s="326" t="s">
        <v>469</v>
      </c>
      <c r="E50" s="326">
        <v>15</v>
      </c>
      <c r="F50" s="344">
        <v>75</v>
      </c>
      <c r="G50" s="345">
        <v>1125</v>
      </c>
      <c r="H50" s="345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</row>
    <row r="51" spans="1:36" s="100" customFormat="1" ht="21.75" customHeight="1" x14ac:dyDescent="0.25">
      <c r="A51" s="385">
        <v>5</v>
      </c>
      <c r="B51" s="161" t="s">
        <v>459</v>
      </c>
      <c r="C51" s="326" t="s">
        <v>227</v>
      </c>
      <c r="D51" s="326" t="s">
        <v>458</v>
      </c>
      <c r="E51" s="326">
        <v>15</v>
      </c>
      <c r="F51" s="344">
        <v>73.33</v>
      </c>
      <c r="G51" s="345">
        <v>1100</v>
      </c>
      <c r="H51" s="386"/>
      <c r="I51" s="347"/>
      <c r="J51" s="347"/>
      <c r="K51" s="347"/>
      <c r="L51" s="347"/>
      <c r="M51" s="347"/>
      <c r="N51" s="346"/>
      <c r="O51" s="348"/>
      <c r="P51" s="346"/>
      <c r="Q51" s="346"/>
      <c r="R51" s="346"/>
      <c r="S51" s="346"/>
      <c r="T51" s="349"/>
      <c r="U51" s="346"/>
      <c r="V51" s="346"/>
      <c r="W51" s="346"/>
      <c r="X51" s="346"/>
      <c r="Y51" s="346"/>
      <c r="Z51" s="350"/>
      <c r="AA51" s="346"/>
      <c r="AB51" s="346"/>
      <c r="AC51" s="346"/>
      <c r="AD51" s="347"/>
      <c r="AE51" s="347"/>
      <c r="AF51" s="351"/>
      <c r="AG51" s="346"/>
      <c r="AH51" s="346">
        <v>2000</v>
      </c>
      <c r="AI51" s="352"/>
      <c r="AJ51" s="255"/>
    </row>
    <row r="52" spans="1:36" s="100" customFormat="1" ht="26.25" customHeight="1" x14ac:dyDescent="0.25">
      <c r="A52" s="385">
        <v>6</v>
      </c>
      <c r="B52" s="161" t="s">
        <v>377</v>
      </c>
      <c r="C52" s="343" t="s">
        <v>278</v>
      </c>
      <c r="D52" s="326" t="s">
        <v>372</v>
      </c>
      <c r="E52" s="326">
        <v>15</v>
      </c>
      <c r="F52" s="344">
        <v>105.33</v>
      </c>
      <c r="G52" s="345">
        <v>1580</v>
      </c>
      <c r="H52" s="386"/>
      <c r="I52" s="347"/>
      <c r="J52" s="347"/>
      <c r="K52" s="347"/>
      <c r="L52" s="347"/>
      <c r="M52" s="347"/>
      <c r="N52" s="346"/>
      <c r="O52" s="348"/>
      <c r="P52" s="346"/>
      <c r="Q52" s="346"/>
      <c r="R52" s="346"/>
      <c r="S52" s="346"/>
      <c r="T52" s="349"/>
      <c r="U52" s="346"/>
      <c r="V52" s="346"/>
      <c r="W52" s="346"/>
      <c r="X52" s="346"/>
      <c r="Y52" s="346"/>
      <c r="Z52" s="350"/>
      <c r="AA52" s="346"/>
      <c r="AB52" s="346"/>
      <c r="AC52" s="346"/>
      <c r="AD52" s="347"/>
      <c r="AE52" s="347"/>
      <c r="AF52" s="351"/>
      <c r="AG52" s="346"/>
      <c r="AH52" s="346">
        <v>1800</v>
      </c>
      <c r="AI52" s="346"/>
      <c r="AJ52" s="255"/>
    </row>
    <row r="53" spans="1:36" s="100" customFormat="1" ht="21" customHeight="1" x14ac:dyDescent="0.25">
      <c r="A53" s="385">
        <v>7</v>
      </c>
      <c r="B53" s="161" t="s">
        <v>429</v>
      </c>
      <c r="C53" s="326" t="s">
        <v>133</v>
      </c>
      <c r="D53" s="326" t="s">
        <v>428</v>
      </c>
      <c r="E53" s="326">
        <v>15</v>
      </c>
      <c r="F53" s="344">
        <v>78.73</v>
      </c>
      <c r="G53" s="345">
        <v>1181</v>
      </c>
      <c r="H53" s="386">
        <v>0</v>
      </c>
      <c r="I53" s="347">
        <v>0</v>
      </c>
      <c r="J53" s="347">
        <v>0</v>
      </c>
      <c r="K53" s="347">
        <v>0</v>
      </c>
      <c r="L53" s="347">
        <v>0</v>
      </c>
      <c r="M53" s="347">
        <v>0</v>
      </c>
      <c r="N53" s="346">
        <f>SUM(G53:M53)</f>
        <v>1181</v>
      </c>
      <c r="O53" s="348"/>
      <c r="P53" s="346">
        <f>IF(F53=47.16,0,IF(F53&gt;47.16,K53*0.5,0))</f>
        <v>0</v>
      </c>
      <c r="Q53" s="346">
        <f>G53+H53+I53+L53+P53+J53</f>
        <v>1181</v>
      </c>
      <c r="R53" s="346">
        <f>VLOOKUP(Q53,TARIFA1,1)</f>
        <v>318.01</v>
      </c>
      <c r="S53" s="346">
        <f>Q53-R53</f>
        <v>862.99</v>
      </c>
      <c r="T53" s="349">
        <f>VLOOKUP(Q53,TARIFA1,3)</f>
        <v>6.4000000000000001E-2</v>
      </c>
      <c r="U53" s="346">
        <f>S53*T53</f>
        <v>55.231360000000002</v>
      </c>
      <c r="V53" s="346">
        <f>VLOOKUP(Q53,TARIFA1,2)</f>
        <v>6.15</v>
      </c>
      <c r="W53" s="346">
        <f>U53+V53</f>
        <v>61.381360000000001</v>
      </c>
      <c r="X53" s="346">
        <f>VLOOKUP(Q53,Credito1,2)</f>
        <v>200.7</v>
      </c>
      <c r="Y53" s="346">
        <f>ROUND(W53-X53,2)</f>
        <v>-139.32</v>
      </c>
      <c r="Z53" s="350"/>
      <c r="AA53" s="346">
        <f>-IF(Y53&gt;0,0,Y53)</f>
        <v>139.32</v>
      </c>
      <c r="AB53" s="346">
        <f>IF(Y53&lt;0,0,Y53)</f>
        <v>0</v>
      </c>
      <c r="AC53" s="346">
        <v>0</v>
      </c>
      <c r="AD53" s="347">
        <v>0</v>
      </c>
      <c r="AE53" s="347">
        <v>0</v>
      </c>
      <c r="AF53" s="351">
        <v>0</v>
      </c>
      <c r="AG53" s="346">
        <f>SUM(AB53:AF53)</f>
        <v>0</v>
      </c>
      <c r="AH53" s="346">
        <v>1800</v>
      </c>
      <c r="AI53" s="346"/>
      <c r="AJ53" s="255"/>
    </row>
    <row r="54" spans="1:36" ht="13.5" thickBot="1" x14ac:dyDescent="0.35">
      <c r="A54" s="380" t="s">
        <v>68</v>
      </c>
      <c r="B54" s="381"/>
      <c r="C54" s="381"/>
      <c r="D54" s="382"/>
      <c r="E54" s="382"/>
      <c r="F54" s="383"/>
      <c r="G54" s="384">
        <f>SUM(G48:G53)</f>
        <v>8269</v>
      </c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</row>
    <row r="55" spans="1:36" ht="13" thickTop="1" x14ac:dyDescent="0.25">
      <c r="A55" s="266"/>
      <c r="B55" s="336"/>
      <c r="C55" s="33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</row>
    <row r="56" spans="1:36" x14ac:dyDescent="0.25">
      <c r="A56" s="266"/>
      <c r="B56" s="336"/>
      <c r="C56" s="33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</row>
    <row r="57" spans="1:36" x14ac:dyDescent="0.25">
      <c r="A57" s="266"/>
      <c r="B57" s="336"/>
      <c r="C57" s="33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</row>
    <row r="58" spans="1:36" ht="13" thickBot="1" x14ac:dyDescent="0.3">
      <c r="A58" s="353"/>
      <c r="B58" s="354"/>
      <c r="C58" s="354"/>
      <c r="D58" s="266"/>
      <c r="E58" s="266"/>
      <c r="F58" s="266"/>
      <c r="G58" s="266"/>
      <c r="H58" s="353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353"/>
    </row>
    <row r="59" spans="1:36" ht="15" customHeight="1" x14ac:dyDescent="0.3">
      <c r="A59" s="459" t="s">
        <v>299</v>
      </c>
      <c r="B59" s="459"/>
      <c r="C59" s="459"/>
      <c r="D59" s="266"/>
      <c r="E59" s="266"/>
      <c r="F59" s="266"/>
      <c r="G59" s="266"/>
      <c r="H59" s="461" t="s">
        <v>330</v>
      </c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1"/>
      <c r="Z59" s="461"/>
      <c r="AA59" s="461"/>
      <c r="AB59" s="461"/>
      <c r="AC59" s="461"/>
      <c r="AD59" s="461"/>
      <c r="AE59" s="461"/>
      <c r="AF59" s="461"/>
      <c r="AG59" s="461"/>
      <c r="AH59" s="461"/>
      <c r="AI59" s="461"/>
      <c r="AJ59" s="461"/>
    </row>
    <row r="60" spans="1:36" ht="20.25" customHeight="1" x14ac:dyDescent="0.25">
      <c r="A60" s="460" t="s">
        <v>274</v>
      </c>
      <c r="B60" s="460"/>
      <c r="C60" s="460"/>
      <c r="D60" s="266"/>
      <c r="E60" s="266"/>
      <c r="F60" s="266"/>
      <c r="G60" s="266"/>
      <c r="H60" s="467" t="s">
        <v>219</v>
      </c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</row>
    <row r="61" spans="1:36" x14ac:dyDescent="0.25">
      <c r="B61" s="152"/>
      <c r="D61" s="109"/>
      <c r="E61" s="109"/>
      <c r="F61" s="109"/>
      <c r="H61" s="109"/>
      <c r="I61" s="109"/>
    </row>
    <row r="62" spans="1:36" ht="13" thickBot="1" x14ac:dyDescent="0.3">
      <c r="B62" s="152"/>
      <c r="C62" s="153"/>
      <c r="D62" s="124"/>
      <c r="E62" s="109"/>
      <c r="F62" s="109"/>
      <c r="H62" s="109"/>
      <c r="I62" s="130"/>
    </row>
    <row r="63" spans="1:36" ht="15.5" x14ac:dyDescent="0.35">
      <c r="B63" s="152"/>
      <c r="C63" s="154"/>
      <c r="D63" s="109"/>
      <c r="E63" s="109"/>
      <c r="F63" s="109"/>
      <c r="H63" s="109"/>
      <c r="I63" s="123"/>
    </row>
    <row r="64" spans="1:36" ht="15.5" x14ac:dyDescent="0.35">
      <c r="B64" s="152"/>
      <c r="C64" s="154"/>
      <c r="D64" s="109"/>
      <c r="E64" s="109"/>
      <c r="F64" s="109"/>
      <c r="H64" s="109"/>
      <c r="I64" s="123"/>
    </row>
    <row r="65" spans="2:9" ht="15.5" x14ac:dyDescent="0.35">
      <c r="B65" s="152"/>
      <c r="C65" s="154"/>
      <c r="D65" s="109"/>
      <c r="E65" s="109"/>
      <c r="F65" s="109"/>
      <c r="H65" s="109"/>
      <c r="I65" s="123"/>
    </row>
    <row r="66" spans="2:9" ht="15.5" x14ac:dyDescent="0.35">
      <c r="B66" s="152"/>
      <c r="C66" s="154"/>
      <c r="D66" s="109"/>
      <c r="E66" s="109"/>
      <c r="F66" s="109"/>
      <c r="H66" s="109"/>
      <c r="I66" s="123"/>
    </row>
  </sheetData>
  <mergeCells count="19">
    <mergeCell ref="B3:H3"/>
    <mergeCell ref="A6:H6"/>
    <mergeCell ref="G25:H25"/>
    <mergeCell ref="G26:H26"/>
    <mergeCell ref="A21:F21"/>
    <mergeCell ref="A25:B25"/>
    <mergeCell ref="A26:B26"/>
    <mergeCell ref="G7:G9"/>
    <mergeCell ref="B7:B9"/>
    <mergeCell ref="A7:A9"/>
    <mergeCell ref="C7:C9"/>
    <mergeCell ref="A59:C59"/>
    <mergeCell ref="A60:C60"/>
    <mergeCell ref="H59:AJ59"/>
    <mergeCell ref="H7:H9"/>
    <mergeCell ref="H45:H47"/>
    <mergeCell ref="A43:H43"/>
    <mergeCell ref="A44:H44"/>
    <mergeCell ref="H60:AJ6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45"/>
  <sheetViews>
    <sheetView showGridLines="0" topLeftCell="B21" zoomScale="87" zoomScaleNormal="87" workbookViewId="0">
      <selection activeCell="E40" sqref="E40"/>
    </sheetView>
  </sheetViews>
  <sheetFormatPr baseColWidth="10" defaultColWidth="11.453125" defaultRowHeight="12.5" x14ac:dyDescent="0.25"/>
  <cols>
    <col min="1" max="1" width="2.7265625" style="100" customWidth="1"/>
    <col min="2" max="2" width="4.54296875" style="100" customWidth="1"/>
    <col min="3" max="3" width="38.7265625" style="184" customWidth="1"/>
    <col min="4" max="4" width="16.54296875" style="103" customWidth="1"/>
    <col min="5" max="5" width="24.453125" style="103" customWidth="1"/>
    <col min="6" max="6" width="6.54296875" style="100" customWidth="1"/>
    <col min="7" max="7" width="10" style="100" customWidth="1"/>
    <col min="8" max="8" width="17.7265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7.1796875" style="100" hidden="1" customWidth="1"/>
    <col min="15" max="15" width="12.81640625" style="100" customWidth="1"/>
    <col min="16" max="16" width="8.54296875" style="100" hidden="1" customWidth="1"/>
    <col min="17" max="17" width="12.453125" style="100" hidden="1" customWidth="1"/>
    <col min="18" max="18" width="11.1796875" style="100" hidden="1" customWidth="1"/>
    <col min="19" max="19" width="10.7265625" style="100" hidden="1" customWidth="1"/>
    <col min="20" max="20" width="11.26953125" style="100" hidden="1" customWidth="1"/>
    <col min="21" max="21" width="10.54296875" style="100" hidden="1" customWidth="1"/>
    <col min="22" max="22" width="11.81640625" style="100" hidden="1" customWidth="1"/>
    <col min="23" max="23" width="10.453125" style="100" hidden="1" customWidth="1"/>
    <col min="24" max="24" width="11.453125" style="100" hidden="1" customWidth="1"/>
    <col min="25" max="25" width="8.54296875" style="100" hidden="1" customWidth="1"/>
    <col min="26" max="26" width="10.81640625" style="100" hidden="1" customWidth="1"/>
    <col min="27" max="27" width="8.54296875" style="100" hidden="1" customWidth="1"/>
    <col min="28" max="28" width="10" style="100" hidden="1" customWidth="1"/>
    <col min="29" max="29" width="12.5429687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0.7265625" style="100" hidden="1" customWidth="1"/>
    <col min="34" max="34" width="12.54296875" style="100" customWidth="1"/>
    <col min="35" max="35" width="13.269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5" x14ac:dyDescent="0.25">
      <c r="A1" s="103"/>
      <c r="B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88"/>
    </row>
    <row r="2" spans="1:45" x14ac:dyDescent="0.25">
      <c r="A2" s="103"/>
      <c r="B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88"/>
    </row>
    <row r="3" spans="1:45" x14ac:dyDescent="0.25">
      <c r="A3" s="103"/>
      <c r="B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88"/>
    </row>
    <row r="4" spans="1:45" x14ac:dyDescent="0.25">
      <c r="A4" s="103"/>
      <c r="B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88"/>
    </row>
    <row r="5" spans="1:45" x14ac:dyDescent="0.25">
      <c r="A5" s="103"/>
      <c r="B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88"/>
    </row>
    <row r="6" spans="1:45" ht="26.25" customHeight="1" x14ac:dyDescent="0.25">
      <c r="A6" s="103"/>
      <c r="B6" s="167"/>
      <c r="D6" s="167"/>
      <c r="E6" s="167"/>
      <c r="F6" s="363" t="s">
        <v>156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88"/>
    </row>
    <row r="7" spans="1:45" x14ac:dyDescent="0.25">
      <c r="A7" s="103"/>
      <c r="B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88"/>
    </row>
    <row r="8" spans="1:45" s="99" customFormat="1" ht="13" x14ac:dyDescent="0.25">
      <c r="A8" s="103"/>
      <c r="B8" s="477" t="str">
        <f>+REGIDORES!B11</f>
        <v>NOMINA DEL 01 AL 15 DE DICIEMBRE DEL 2021</v>
      </c>
      <c r="C8" s="477"/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V8" s="477"/>
      <c r="W8" s="477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J8" s="167"/>
      <c r="AK8" s="188"/>
    </row>
    <row r="9" spans="1:45" s="99" customFormat="1" ht="13" x14ac:dyDescent="0.25">
      <c r="A9" s="103"/>
      <c r="B9" s="165"/>
      <c r="C9" s="162"/>
      <c r="D9" s="165"/>
      <c r="E9" s="165"/>
      <c r="F9" s="169" t="s">
        <v>285</v>
      </c>
      <c r="G9" s="169" t="s">
        <v>9</v>
      </c>
      <c r="H9" s="458" t="s">
        <v>2</v>
      </c>
      <c r="I9" s="458"/>
      <c r="J9" s="458"/>
      <c r="K9" s="458"/>
      <c r="L9" s="458"/>
      <c r="M9" s="458"/>
      <c r="N9" s="458"/>
      <c r="O9" s="458"/>
      <c r="P9" s="169"/>
      <c r="Q9" s="169" t="s">
        <v>48</v>
      </c>
      <c r="R9" s="169"/>
      <c r="S9" s="458" t="s">
        <v>30</v>
      </c>
      <c r="T9" s="458"/>
      <c r="U9" s="458"/>
      <c r="V9" s="458"/>
      <c r="W9" s="458"/>
      <c r="X9" s="458"/>
      <c r="Y9" s="169" t="s">
        <v>286</v>
      </c>
      <c r="Z9" s="169" t="s">
        <v>31</v>
      </c>
      <c r="AA9" s="169"/>
      <c r="AB9" s="169" t="s">
        <v>87</v>
      </c>
      <c r="AC9" s="458" t="s">
        <v>297</v>
      </c>
      <c r="AD9" s="458"/>
      <c r="AE9" s="458"/>
      <c r="AF9" s="458"/>
      <c r="AG9" s="458"/>
      <c r="AH9" s="458"/>
      <c r="AI9" s="169" t="s">
        <v>0</v>
      </c>
      <c r="AJ9" s="165"/>
      <c r="AK9" s="188"/>
      <c r="AR9" s="117"/>
      <c r="AS9" s="105" t="s">
        <v>207</v>
      </c>
    </row>
    <row r="10" spans="1:45" s="99" customFormat="1" ht="13" x14ac:dyDescent="0.25">
      <c r="A10" s="103"/>
      <c r="B10" s="169" t="s">
        <v>42</v>
      </c>
      <c r="C10" s="168" t="s">
        <v>43</v>
      </c>
      <c r="D10" s="169" t="s">
        <v>101</v>
      </c>
      <c r="E10" s="169" t="s">
        <v>216</v>
      </c>
      <c r="F10" s="190" t="s">
        <v>44</v>
      </c>
      <c r="G10" s="169" t="s">
        <v>45</v>
      </c>
      <c r="H10" s="169" t="s">
        <v>9</v>
      </c>
      <c r="I10" s="169" t="s">
        <v>46</v>
      </c>
      <c r="J10" s="169" t="s">
        <v>46</v>
      </c>
      <c r="K10" s="169" t="s">
        <v>73</v>
      </c>
      <c r="L10" s="169" t="s">
        <v>48</v>
      </c>
      <c r="M10" s="169" t="s">
        <v>50</v>
      </c>
      <c r="N10" s="169" t="s">
        <v>50</v>
      </c>
      <c r="O10" s="169" t="s">
        <v>53</v>
      </c>
      <c r="P10" s="169"/>
      <c r="Q10" s="169" t="s">
        <v>49</v>
      </c>
      <c r="R10" s="169" t="s">
        <v>56</v>
      </c>
      <c r="S10" s="169" t="s">
        <v>33</v>
      </c>
      <c r="T10" s="169" t="s">
        <v>58</v>
      </c>
      <c r="U10" s="169" t="s">
        <v>60</v>
      </c>
      <c r="V10" s="169" t="s">
        <v>61</v>
      </c>
      <c r="W10" s="169" t="s">
        <v>35</v>
      </c>
      <c r="X10" s="169" t="s">
        <v>31</v>
      </c>
      <c r="Y10" s="169" t="s">
        <v>64</v>
      </c>
      <c r="Z10" s="169" t="s">
        <v>65</v>
      </c>
      <c r="AA10" s="169"/>
      <c r="AB10" s="169" t="s">
        <v>55</v>
      </c>
      <c r="AC10" s="169" t="s">
        <v>4</v>
      </c>
      <c r="AD10" s="169" t="s">
        <v>5</v>
      </c>
      <c r="AE10" s="169" t="s">
        <v>286</v>
      </c>
      <c r="AF10" s="169" t="s">
        <v>74</v>
      </c>
      <c r="AG10" s="169" t="s">
        <v>99</v>
      </c>
      <c r="AH10" s="169" t="s">
        <v>10</v>
      </c>
      <c r="AI10" s="169" t="s">
        <v>6</v>
      </c>
      <c r="AJ10" s="165"/>
      <c r="AK10" s="188"/>
      <c r="AR10" s="122"/>
      <c r="AS10" s="105" t="s">
        <v>208</v>
      </c>
    </row>
    <row r="11" spans="1:45" s="99" customFormat="1" ht="12" customHeight="1" x14ac:dyDescent="0.25">
      <c r="A11" s="103"/>
      <c r="B11" s="169"/>
      <c r="C11" s="168"/>
      <c r="D11" s="169"/>
      <c r="E11" s="169"/>
      <c r="F11" s="169"/>
      <c r="G11" s="169"/>
      <c r="H11" s="169" t="s">
        <v>70</v>
      </c>
      <c r="I11" s="169" t="s">
        <v>76</v>
      </c>
      <c r="J11" s="169" t="s">
        <v>47</v>
      </c>
      <c r="K11" s="169"/>
      <c r="L11" s="169" t="s">
        <v>49</v>
      </c>
      <c r="M11" s="169" t="s">
        <v>51</v>
      </c>
      <c r="N11" s="169" t="s">
        <v>52</v>
      </c>
      <c r="O11" s="169" t="s">
        <v>288</v>
      </c>
      <c r="P11" s="169"/>
      <c r="Q11" s="169" t="s">
        <v>66</v>
      </c>
      <c r="R11" s="169" t="s">
        <v>57</v>
      </c>
      <c r="S11" s="169" t="s">
        <v>34</v>
      </c>
      <c r="T11" s="169" t="s">
        <v>59</v>
      </c>
      <c r="U11" s="169" t="s">
        <v>59</v>
      </c>
      <c r="V11" s="169" t="s">
        <v>62</v>
      </c>
      <c r="W11" s="169" t="s">
        <v>36</v>
      </c>
      <c r="X11" s="169" t="s">
        <v>63</v>
      </c>
      <c r="Y11" s="169" t="s">
        <v>40</v>
      </c>
      <c r="Z11" s="169" t="s">
        <v>94</v>
      </c>
      <c r="AA11" s="169"/>
      <c r="AB11" s="169" t="s">
        <v>86</v>
      </c>
      <c r="AC11" s="169"/>
      <c r="AD11" s="169"/>
      <c r="AE11" s="169" t="s">
        <v>72</v>
      </c>
      <c r="AF11" s="169" t="s">
        <v>75</v>
      </c>
      <c r="AG11" s="169"/>
      <c r="AH11" s="169" t="s">
        <v>298</v>
      </c>
      <c r="AI11" s="169" t="s">
        <v>7</v>
      </c>
      <c r="AJ11" s="169" t="s">
        <v>100</v>
      </c>
      <c r="AK11" s="188"/>
      <c r="AN11" s="105" t="s">
        <v>201</v>
      </c>
    </row>
    <row r="12" spans="1:45" s="99" customFormat="1" ht="18" customHeight="1" x14ac:dyDescent="0.3">
      <c r="A12" s="103"/>
      <c r="B12" s="171">
        <v>1</v>
      </c>
      <c r="C12" s="128" t="s">
        <v>430</v>
      </c>
      <c r="D12" s="164" t="s">
        <v>113</v>
      </c>
      <c r="E12" s="163"/>
      <c r="F12" s="191">
        <v>15</v>
      </c>
      <c r="G12" s="192">
        <v>528.87</v>
      </c>
      <c r="H12" s="175">
        <f t="shared" ref="H12:H18" si="0">F12*G12</f>
        <v>7933.05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3">
        <v>0</v>
      </c>
      <c r="O12" s="175">
        <f t="shared" ref="O12:O22" si="1">SUM(H12:N12)</f>
        <v>7933.05</v>
      </c>
      <c r="P12" s="194"/>
      <c r="Q12" s="175">
        <f t="shared" ref="Q12:Q22" si="2">IF(G12=47.16,0,IF(G12&gt;47.16,L12*0.5,0))</f>
        <v>0</v>
      </c>
      <c r="R12" s="175">
        <f>H12+I12+J12+M12+Q12+K12</f>
        <v>7933.05</v>
      </c>
      <c r="S12" s="175">
        <f t="shared" ref="S12:S22" si="3">VLOOKUP(R12,TARIFA1,1)</f>
        <v>6602.71</v>
      </c>
      <c r="T12" s="175">
        <f t="shared" ref="T12:T22" si="4">R12-S12</f>
        <v>1330.3400000000001</v>
      </c>
      <c r="U12" s="195">
        <f t="shared" ref="U12:U22" si="5">VLOOKUP(R12,TARIFA1,3)</f>
        <v>0.21360000000000001</v>
      </c>
      <c r="V12" s="175">
        <f t="shared" ref="V12:V22" si="6">T12*U12</f>
        <v>284.16062400000004</v>
      </c>
      <c r="W12" s="175">
        <f t="shared" ref="W12:W22" si="7">VLOOKUP(R12,TARIFA1,2)</f>
        <v>699.3</v>
      </c>
      <c r="X12" s="175">
        <f t="shared" ref="X12:X22" si="8">V12+W12</f>
        <v>983.46062400000005</v>
      </c>
      <c r="Y12" s="175">
        <f t="shared" ref="Y12:Y22" si="9">VLOOKUP(R12,Credito1,2)</f>
        <v>0</v>
      </c>
      <c r="Z12" s="175">
        <f>ROUND(X12-Y12,2)</f>
        <v>983.46</v>
      </c>
      <c r="AA12" s="196"/>
      <c r="AB12" s="175">
        <f t="shared" ref="AB12:AB21" si="10">-IF(Z12&gt;0,0,Z12)</f>
        <v>0</v>
      </c>
      <c r="AC12" s="175">
        <f t="shared" ref="AC12:AC22" si="11">IF(Z12&lt;0,0,Z12)</f>
        <v>983.46</v>
      </c>
      <c r="AD12" s="175">
        <v>0</v>
      </c>
      <c r="AE12" s="193">
        <v>0</v>
      </c>
      <c r="AF12" s="193">
        <v>0</v>
      </c>
      <c r="AG12" s="193">
        <v>0</v>
      </c>
      <c r="AH12" s="175">
        <f t="shared" ref="AH12:AH22" si="12">SUM(AC12:AG12)</f>
        <v>983.46</v>
      </c>
      <c r="AI12" s="175">
        <f>O12+AB12-AH12</f>
        <v>6949.59</v>
      </c>
      <c r="AJ12" s="175"/>
      <c r="AK12" s="177"/>
      <c r="AL12" s="101"/>
      <c r="AM12" s="101"/>
    </row>
    <row r="13" spans="1:45" s="99" customFormat="1" ht="18" customHeight="1" x14ac:dyDescent="0.3">
      <c r="A13" s="103"/>
      <c r="B13" s="171">
        <v>2</v>
      </c>
      <c r="C13" s="128" t="s">
        <v>399</v>
      </c>
      <c r="D13" s="164" t="s">
        <v>161</v>
      </c>
      <c r="E13" s="163"/>
      <c r="F13" s="191">
        <v>15</v>
      </c>
      <c r="G13" s="192">
        <v>374.87</v>
      </c>
      <c r="H13" s="175">
        <f t="shared" si="0"/>
        <v>5623.05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75">
        <f t="shared" si="1"/>
        <v>5623.05</v>
      </c>
      <c r="P13" s="194"/>
      <c r="Q13" s="175">
        <f t="shared" si="2"/>
        <v>0</v>
      </c>
      <c r="R13" s="175">
        <f t="shared" ref="R13:R22" si="13">H13+I13+J13+M13+Q13+K13</f>
        <v>5623.05</v>
      </c>
      <c r="S13" s="175">
        <f t="shared" si="3"/>
        <v>5514.76</v>
      </c>
      <c r="T13" s="175">
        <f t="shared" si="4"/>
        <v>108.28999999999996</v>
      </c>
      <c r="U13" s="195">
        <f t="shared" si="5"/>
        <v>0.1792</v>
      </c>
      <c r="V13" s="175">
        <f t="shared" si="6"/>
        <v>19.405567999999992</v>
      </c>
      <c r="W13" s="175">
        <f t="shared" si="7"/>
        <v>504.3</v>
      </c>
      <c r="X13" s="175">
        <f t="shared" si="8"/>
        <v>523.70556799999997</v>
      </c>
      <c r="Y13" s="175">
        <f t="shared" si="9"/>
        <v>0</v>
      </c>
      <c r="Z13" s="175">
        <f t="shared" ref="Z13:Z22" si="14">ROUND(X13-Y13,2)</f>
        <v>523.71</v>
      </c>
      <c r="AA13" s="196"/>
      <c r="AB13" s="175">
        <f t="shared" si="10"/>
        <v>0</v>
      </c>
      <c r="AC13" s="175">
        <f t="shared" si="11"/>
        <v>523.71</v>
      </c>
      <c r="AD13" s="175">
        <v>0</v>
      </c>
      <c r="AE13" s="193">
        <v>0</v>
      </c>
      <c r="AF13" s="193">
        <v>0</v>
      </c>
      <c r="AG13" s="193">
        <v>0</v>
      </c>
      <c r="AH13" s="175">
        <f t="shared" si="12"/>
        <v>523.71</v>
      </c>
      <c r="AI13" s="175">
        <f t="shared" ref="AI13:AI28" si="15">O13+AB13-AH13</f>
        <v>5099.34</v>
      </c>
      <c r="AJ13" s="175"/>
      <c r="AK13" s="177"/>
      <c r="AL13" s="101"/>
      <c r="AM13" s="101"/>
    </row>
    <row r="14" spans="1:45" s="99" customFormat="1" ht="18" customHeight="1" x14ac:dyDescent="0.3">
      <c r="A14" s="103"/>
      <c r="B14" s="171">
        <v>3</v>
      </c>
      <c r="C14" s="128" t="s">
        <v>481</v>
      </c>
      <c r="D14" s="164" t="s">
        <v>162</v>
      </c>
      <c r="E14" s="187"/>
      <c r="F14" s="191">
        <v>15</v>
      </c>
      <c r="G14" s="192">
        <v>366.93</v>
      </c>
      <c r="H14" s="175">
        <f t="shared" si="0"/>
        <v>5503.95</v>
      </c>
      <c r="I14" s="193">
        <v>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75">
        <f t="shared" si="1"/>
        <v>5503.95</v>
      </c>
      <c r="P14" s="194"/>
      <c r="Q14" s="175">
        <f t="shared" si="2"/>
        <v>0</v>
      </c>
      <c r="R14" s="175">
        <f t="shared" si="13"/>
        <v>5503.95</v>
      </c>
      <c r="S14" s="175">
        <f t="shared" si="3"/>
        <v>4744.0600000000004</v>
      </c>
      <c r="T14" s="175">
        <f t="shared" si="4"/>
        <v>759.88999999999942</v>
      </c>
      <c r="U14" s="195">
        <f t="shared" si="5"/>
        <v>0.16</v>
      </c>
      <c r="V14" s="175">
        <f t="shared" si="6"/>
        <v>121.58239999999991</v>
      </c>
      <c r="W14" s="175">
        <f t="shared" si="7"/>
        <v>381</v>
      </c>
      <c r="X14" s="175">
        <f t="shared" si="8"/>
        <v>502.58239999999989</v>
      </c>
      <c r="Y14" s="175">
        <f t="shared" si="9"/>
        <v>0</v>
      </c>
      <c r="Z14" s="175">
        <f t="shared" si="14"/>
        <v>502.58</v>
      </c>
      <c r="AA14" s="196"/>
      <c r="AB14" s="175">
        <f t="shared" si="10"/>
        <v>0</v>
      </c>
      <c r="AC14" s="175">
        <f t="shared" si="11"/>
        <v>502.58</v>
      </c>
      <c r="AD14" s="175">
        <v>0</v>
      </c>
      <c r="AE14" s="193">
        <v>0</v>
      </c>
      <c r="AF14" s="193">
        <v>0</v>
      </c>
      <c r="AG14" s="193">
        <v>0</v>
      </c>
      <c r="AH14" s="175">
        <f t="shared" si="12"/>
        <v>502.58</v>
      </c>
      <c r="AI14" s="175">
        <f t="shared" si="15"/>
        <v>5001.37</v>
      </c>
      <c r="AJ14" s="175"/>
      <c r="AK14" s="177"/>
      <c r="AL14" s="101"/>
      <c r="AM14" s="101"/>
    </row>
    <row r="15" spans="1:45" s="99" customFormat="1" ht="18" customHeight="1" x14ac:dyDescent="0.3">
      <c r="A15" s="103"/>
      <c r="B15" s="171">
        <v>4</v>
      </c>
      <c r="C15" s="128" t="s">
        <v>413</v>
      </c>
      <c r="D15" s="164" t="s">
        <v>162</v>
      </c>
      <c r="E15" s="163"/>
      <c r="F15" s="191">
        <v>15</v>
      </c>
      <c r="G15" s="192">
        <v>366.93</v>
      </c>
      <c r="H15" s="175">
        <f t="shared" si="0"/>
        <v>5503.95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75">
        <f t="shared" si="1"/>
        <v>5503.95</v>
      </c>
      <c r="P15" s="194"/>
      <c r="Q15" s="175">
        <f t="shared" si="2"/>
        <v>0</v>
      </c>
      <c r="R15" s="175">
        <f t="shared" si="13"/>
        <v>5503.95</v>
      </c>
      <c r="S15" s="175">
        <f t="shared" si="3"/>
        <v>4744.0600000000004</v>
      </c>
      <c r="T15" s="175">
        <f t="shared" si="4"/>
        <v>759.88999999999942</v>
      </c>
      <c r="U15" s="195">
        <f t="shared" si="5"/>
        <v>0.16</v>
      </c>
      <c r="V15" s="175">
        <f t="shared" si="6"/>
        <v>121.58239999999991</v>
      </c>
      <c r="W15" s="175">
        <f t="shared" si="7"/>
        <v>381</v>
      </c>
      <c r="X15" s="175">
        <f t="shared" si="8"/>
        <v>502.58239999999989</v>
      </c>
      <c r="Y15" s="175">
        <f t="shared" si="9"/>
        <v>0</v>
      </c>
      <c r="Z15" s="175">
        <f t="shared" si="14"/>
        <v>502.58</v>
      </c>
      <c r="AA15" s="196"/>
      <c r="AB15" s="175">
        <f t="shared" si="10"/>
        <v>0</v>
      </c>
      <c r="AC15" s="175">
        <f t="shared" si="11"/>
        <v>502.58</v>
      </c>
      <c r="AD15" s="175">
        <v>0</v>
      </c>
      <c r="AE15" s="193">
        <v>0</v>
      </c>
      <c r="AF15" s="193">
        <v>0</v>
      </c>
      <c r="AG15" s="193">
        <v>0</v>
      </c>
      <c r="AH15" s="175">
        <f t="shared" si="12"/>
        <v>502.58</v>
      </c>
      <c r="AI15" s="175">
        <f t="shared" si="15"/>
        <v>5001.37</v>
      </c>
      <c r="AJ15" s="175"/>
      <c r="AK15" s="177"/>
      <c r="AL15" s="101"/>
      <c r="AM15" s="101"/>
    </row>
    <row r="16" spans="1:45" s="99" customFormat="1" ht="18" customHeight="1" x14ac:dyDescent="0.3">
      <c r="A16" s="103"/>
      <c r="B16" s="171">
        <v>5</v>
      </c>
      <c r="C16" s="128" t="s">
        <v>530</v>
      </c>
      <c r="D16" s="164" t="s">
        <v>181</v>
      </c>
      <c r="E16" s="163"/>
      <c r="F16" s="191">
        <v>15</v>
      </c>
      <c r="G16" s="192">
        <v>346.98</v>
      </c>
      <c r="H16" s="175">
        <f t="shared" si="0"/>
        <v>5204.7000000000007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75">
        <f t="shared" si="1"/>
        <v>5204.7000000000007</v>
      </c>
      <c r="P16" s="194"/>
      <c r="Q16" s="175">
        <f t="shared" si="2"/>
        <v>0</v>
      </c>
      <c r="R16" s="175">
        <f t="shared" si="13"/>
        <v>5204.7000000000007</v>
      </c>
      <c r="S16" s="175">
        <f t="shared" si="3"/>
        <v>4744.0600000000004</v>
      </c>
      <c r="T16" s="175">
        <f t="shared" si="4"/>
        <v>460.64000000000033</v>
      </c>
      <c r="U16" s="195">
        <f t="shared" si="5"/>
        <v>0.16</v>
      </c>
      <c r="V16" s="175">
        <f t="shared" si="6"/>
        <v>73.702400000000054</v>
      </c>
      <c r="W16" s="175">
        <f t="shared" si="7"/>
        <v>381</v>
      </c>
      <c r="X16" s="175">
        <f t="shared" si="8"/>
        <v>454.70240000000007</v>
      </c>
      <c r="Y16" s="175">
        <f t="shared" si="9"/>
        <v>0</v>
      </c>
      <c r="Z16" s="175">
        <f t="shared" si="14"/>
        <v>454.7</v>
      </c>
      <c r="AA16" s="196"/>
      <c r="AB16" s="175">
        <f t="shared" si="10"/>
        <v>0</v>
      </c>
      <c r="AC16" s="175">
        <f t="shared" si="11"/>
        <v>454.7</v>
      </c>
      <c r="AD16" s="175">
        <v>0</v>
      </c>
      <c r="AE16" s="193">
        <v>0</v>
      </c>
      <c r="AF16" s="193">
        <v>0</v>
      </c>
      <c r="AG16" s="193">
        <v>0</v>
      </c>
      <c r="AH16" s="175">
        <f t="shared" si="12"/>
        <v>454.7</v>
      </c>
      <c r="AI16" s="175">
        <f t="shared" si="15"/>
        <v>4750.0000000000009</v>
      </c>
      <c r="AJ16" s="175"/>
      <c r="AK16" s="177"/>
      <c r="AL16" s="101"/>
    </row>
    <row r="17" spans="1:38" ht="18.75" customHeight="1" x14ac:dyDescent="0.25">
      <c r="A17" s="103"/>
      <c r="B17" s="171">
        <v>6</v>
      </c>
      <c r="C17" s="128" t="s">
        <v>522</v>
      </c>
      <c r="D17" s="164" t="s">
        <v>181</v>
      </c>
      <c r="E17" s="163"/>
      <c r="F17" s="191">
        <v>15</v>
      </c>
      <c r="G17" s="192">
        <v>346.98</v>
      </c>
      <c r="H17" s="175">
        <f t="shared" si="0"/>
        <v>5204.7000000000007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75">
        <f t="shared" si="1"/>
        <v>5204.7000000000007</v>
      </c>
      <c r="P17" s="194"/>
      <c r="Q17" s="175">
        <f t="shared" si="2"/>
        <v>0</v>
      </c>
      <c r="R17" s="175">
        <f t="shared" si="13"/>
        <v>5204.7000000000007</v>
      </c>
      <c r="S17" s="175">
        <f t="shared" si="3"/>
        <v>4744.0600000000004</v>
      </c>
      <c r="T17" s="175">
        <f t="shared" si="4"/>
        <v>460.64000000000033</v>
      </c>
      <c r="U17" s="195">
        <f t="shared" si="5"/>
        <v>0.16</v>
      </c>
      <c r="V17" s="175">
        <f t="shared" si="6"/>
        <v>73.702400000000054</v>
      </c>
      <c r="W17" s="175">
        <f t="shared" si="7"/>
        <v>381</v>
      </c>
      <c r="X17" s="175">
        <f t="shared" si="8"/>
        <v>454.70240000000007</v>
      </c>
      <c r="Y17" s="175">
        <f t="shared" si="9"/>
        <v>0</v>
      </c>
      <c r="Z17" s="175">
        <f t="shared" si="14"/>
        <v>454.7</v>
      </c>
      <c r="AA17" s="196"/>
      <c r="AB17" s="175">
        <f t="shared" si="10"/>
        <v>0</v>
      </c>
      <c r="AC17" s="175">
        <f t="shared" si="11"/>
        <v>454.7</v>
      </c>
      <c r="AD17" s="175">
        <v>0</v>
      </c>
      <c r="AE17" s="193">
        <v>0</v>
      </c>
      <c r="AF17" s="193">
        <v>0</v>
      </c>
      <c r="AG17" s="193">
        <v>0</v>
      </c>
      <c r="AH17" s="175">
        <f t="shared" si="12"/>
        <v>454.7</v>
      </c>
      <c r="AI17" s="175">
        <f t="shared" si="15"/>
        <v>4750.0000000000009</v>
      </c>
      <c r="AJ17" s="175"/>
      <c r="AK17" s="188"/>
    </row>
    <row r="18" spans="1:38" ht="18" customHeight="1" x14ac:dyDescent="0.25">
      <c r="A18" s="103"/>
      <c r="B18" s="171">
        <v>7</v>
      </c>
      <c r="C18" s="128" t="s">
        <v>367</v>
      </c>
      <c r="D18" s="164" t="s">
        <v>181</v>
      </c>
      <c r="E18" s="163"/>
      <c r="F18" s="191">
        <v>15</v>
      </c>
      <c r="G18" s="192">
        <v>346.98</v>
      </c>
      <c r="H18" s="175">
        <f t="shared" si="0"/>
        <v>5204.7000000000007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75">
        <f t="shared" si="1"/>
        <v>5204.7000000000007</v>
      </c>
      <c r="P18" s="194"/>
      <c r="Q18" s="175">
        <f t="shared" si="2"/>
        <v>0</v>
      </c>
      <c r="R18" s="175">
        <f t="shared" si="13"/>
        <v>5204.7000000000007</v>
      </c>
      <c r="S18" s="175">
        <f t="shared" si="3"/>
        <v>4744.0600000000004</v>
      </c>
      <c r="T18" s="175">
        <f t="shared" si="4"/>
        <v>460.64000000000033</v>
      </c>
      <c r="U18" s="195">
        <f t="shared" si="5"/>
        <v>0.16</v>
      </c>
      <c r="V18" s="175">
        <f t="shared" si="6"/>
        <v>73.702400000000054</v>
      </c>
      <c r="W18" s="175">
        <f t="shared" si="7"/>
        <v>381</v>
      </c>
      <c r="X18" s="175">
        <f t="shared" si="8"/>
        <v>454.70240000000007</v>
      </c>
      <c r="Y18" s="175">
        <f t="shared" si="9"/>
        <v>0</v>
      </c>
      <c r="Z18" s="175">
        <f t="shared" si="14"/>
        <v>454.7</v>
      </c>
      <c r="AA18" s="196"/>
      <c r="AB18" s="175">
        <f t="shared" si="10"/>
        <v>0</v>
      </c>
      <c r="AC18" s="175">
        <f t="shared" si="11"/>
        <v>454.7</v>
      </c>
      <c r="AD18" s="175">
        <v>0</v>
      </c>
      <c r="AE18" s="193">
        <v>0</v>
      </c>
      <c r="AF18" s="193">
        <v>0</v>
      </c>
      <c r="AG18" s="193">
        <v>0</v>
      </c>
      <c r="AH18" s="175">
        <f t="shared" si="12"/>
        <v>454.7</v>
      </c>
      <c r="AI18" s="175">
        <f t="shared" si="15"/>
        <v>4750.0000000000009</v>
      </c>
      <c r="AJ18" s="175"/>
      <c r="AK18" s="188"/>
    </row>
    <row r="19" spans="1:38" ht="18" customHeight="1" x14ac:dyDescent="0.25">
      <c r="A19" s="103"/>
      <c r="B19" s="171">
        <v>8</v>
      </c>
      <c r="C19" s="128" t="s">
        <v>482</v>
      </c>
      <c r="D19" s="164" t="s">
        <v>133</v>
      </c>
      <c r="E19" s="163"/>
      <c r="F19" s="191">
        <v>15</v>
      </c>
      <c r="G19" s="192">
        <v>106.67</v>
      </c>
      <c r="H19" s="175">
        <f>F19*G19</f>
        <v>1600.05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75">
        <f t="shared" si="1"/>
        <v>1600.05</v>
      </c>
      <c r="P19" s="194"/>
      <c r="Q19" s="175">
        <f t="shared" si="2"/>
        <v>0</v>
      </c>
      <c r="R19" s="175">
        <f t="shared" si="13"/>
        <v>1600.05</v>
      </c>
      <c r="S19" s="175">
        <f t="shared" si="3"/>
        <v>318.01</v>
      </c>
      <c r="T19" s="175">
        <f t="shared" si="4"/>
        <v>1282.04</v>
      </c>
      <c r="U19" s="195">
        <f t="shared" si="5"/>
        <v>6.4000000000000001E-2</v>
      </c>
      <c r="V19" s="175">
        <f t="shared" si="6"/>
        <v>82.050560000000004</v>
      </c>
      <c r="W19" s="175">
        <f t="shared" si="7"/>
        <v>6.15</v>
      </c>
      <c r="X19" s="175">
        <f t="shared" si="8"/>
        <v>88.20056000000001</v>
      </c>
      <c r="Y19" s="175">
        <f t="shared" si="9"/>
        <v>200.7</v>
      </c>
      <c r="Z19" s="175">
        <f t="shared" si="14"/>
        <v>-112.5</v>
      </c>
      <c r="AA19" s="196"/>
      <c r="AB19" s="175">
        <f t="shared" si="10"/>
        <v>112.5</v>
      </c>
      <c r="AC19" s="175">
        <f t="shared" si="11"/>
        <v>0</v>
      </c>
      <c r="AD19" s="175">
        <v>0</v>
      </c>
      <c r="AE19" s="193">
        <v>0</v>
      </c>
      <c r="AF19" s="193">
        <v>0</v>
      </c>
      <c r="AG19" s="193">
        <v>0</v>
      </c>
      <c r="AH19" s="175">
        <f t="shared" si="12"/>
        <v>0</v>
      </c>
      <c r="AI19" s="175">
        <f t="shared" si="15"/>
        <v>1712.55</v>
      </c>
      <c r="AJ19" s="175"/>
      <c r="AK19" s="188"/>
    </row>
    <row r="20" spans="1:38" ht="18" customHeight="1" x14ac:dyDescent="0.25">
      <c r="A20" s="103"/>
      <c r="B20" s="171">
        <v>9</v>
      </c>
      <c r="C20" s="128" t="s">
        <v>521</v>
      </c>
      <c r="D20" s="164" t="s">
        <v>181</v>
      </c>
      <c r="E20" s="163"/>
      <c r="F20" s="191">
        <v>15</v>
      </c>
      <c r="G20" s="192">
        <v>346.98</v>
      </c>
      <c r="H20" s="175">
        <f t="shared" ref="H20:H28" si="16">F20*G20</f>
        <v>5204.7000000000007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75">
        <f t="shared" si="1"/>
        <v>5204.7000000000007</v>
      </c>
      <c r="P20" s="194"/>
      <c r="Q20" s="175">
        <f t="shared" si="2"/>
        <v>0</v>
      </c>
      <c r="R20" s="175">
        <f t="shared" si="13"/>
        <v>5204.7000000000007</v>
      </c>
      <c r="S20" s="175">
        <f t="shared" si="3"/>
        <v>4744.0600000000004</v>
      </c>
      <c r="T20" s="175">
        <f t="shared" si="4"/>
        <v>460.64000000000033</v>
      </c>
      <c r="U20" s="195">
        <f t="shared" si="5"/>
        <v>0.16</v>
      </c>
      <c r="V20" s="175">
        <f t="shared" si="6"/>
        <v>73.702400000000054</v>
      </c>
      <c r="W20" s="175">
        <f t="shared" si="7"/>
        <v>381</v>
      </c>
      <c r="X20" s="175">
        <f t="shared" si="8"/>
        <v>454.70240000000007</v>
      </c>
      <c r="Y20" s="175">
        <f t="shared" si="9"/>
        <v>0</v>
      </c>
      <c r="Z20" s="175">
        <f t="shared" si="14"/>
        <v>454.7</v>
      </c>
      <c r="AA20" s="196"/>
      <c r="AB20" s="175">
        <f t="shared" si="10"/>
        <v>0</v>
      </c>
      <c r="AC20" s="175">
        <f t="shared" si="11"/>
        <v>454.7</v>
      </c>
      <c r="AD20" s="175">
        <v>0</v>
      </c>
      <c r="AE20" s="193">
        <v>0</v>
      </c>
      <c r="AF20" s="193">
        <v>0</v>
      </c>
      <c r="AG20" s="193">
        <v>0</v>
      </c>
      <c r="AH20" s="175">
        <f t="shared" si="12"/>
        <v>454.7</v>
      </c>
      <c r="AI20" s="175">
        <f t="shared" si="15"/>
        <v>4750.0000000000009</v>
      </c>
      <c r="AJ20" s="175"/>
      <c r="AK20" s="188"/>
    </row>
    <row r="21" spans="1:38" ht="18" customHeight="1" x14ac:dyDescent="0.25">
      <c r="A21" s="103"/>
      <c r="B21" s="171">
        <v>10</v>
      </c>
      <c r="C21" s="128" t="s">
        <v>408</v>
      </c>
      <c r="D21" s="164" t="s">
        <v>181</v>
      </c>
      <c r="E21" s="164"/>
      <c r="F21" s="191">
        <v>15</v>
      </c>
      <c r="G21" s="192">
        <v>346.98</v>
      </c>
      <c r="H21" s="175">
        <f t="shared" si="16"/>
        <v>5204.7000000000007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75">
        <f t="shared" si="1"/>
        <v>5204.7000000000007</v>
      </c>
      <c r="P21" s="194"/>
      <c r="Q21" s="175">
        <f t="shared" si="2"/>
        <v>0</v>
      </c>
      <c r="R21" s="175">
        <f t="shared" si="13"/>
        <v>5204.7000000000007</v>
      </c>
      <c r="S21" s="175">
        <f t="shared" si="3"/>
        <v>4744.0600000000004</v>
      </c>
      <c r="T21" s="175">
        <f t="shared" si="4"/>
        <v>460.64000000000033</v>
      </c>
      <c r="U21" s="195">
        <f t="shared" si="5"/>
        <v>0.16</v>
      </c>
      <c r="V21" s="175">
        <f t="shared" si="6"/>
        <v>73.702400000000054</v>
      </c>
      <c r="W21" s="175">
        <f t="shared" si="7"/>
        <v>381</v>
      </c>
      <c r="X21" s="175">
        <f t="shared" si="8"/>
        <v>454.70240000000007</v>
      </c>
      <c r="Y21" s="175">
        <f t="shared" si="9"/>
        <v>0</v>
      </c>
      <c r="Z21" s="175">
        <f t="shared" si="14"/>
        <v>454.7</v>
      </c>
      <c r="AA21" s="196"/>
      <c r="AB21" s="175">
        <f t="shared" si="10"/>
        <v>0</v>
      </c>
      <c r="AC21" s="175">
        <f t="shared" si="11"/>
        <v>454.7</v>
      </c>
      <c r="AD21" s="175">
        <v>0</v>
      </c>
      <c r="AE21" s="193">
        <v>0</v>
      </c>
      <c r="AF21" s="193">
        <v>0</v>
      </c>
      <c r="AG21" s="193">
        <v>0</v>
      </c>
      <c r="AH21" s="175">
        <f t="shared" si="12"/>
        <v>454.7</v>
      </c>
      <c r="AI21" s="175">
        <f t="shared" si="15"/>
        <v>4750.0000000000009</v>
      </c>
      <c r="AJ21" s="175"/>
      <c r="AK21" s="188"/>
    </row>
    <row r="22" spans="1:38" ht="18" customHeight="1" x14ac:dyDescent="0.25">
      <c r="A22" s="103"/>
      <c r="B22" s="171">
        <v>11</v>
      </c>
      <c r="C22" s="128" t="s">
        <v>409</v>
      </c>
      <c r="D22" s="164" t="s">
        <v>181</v>
      </c>
      <c r="E22" s="163"/>
      <c r="F22" s="191">
        <v>15</v>
      </c>
      <c r="G22" s="192">
        <v>346.98</v>
      </c>
      <c r="H22" s="175">
        <f t="shared" si="16"/>
        <v>5204.7000000000007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75">
        <f t="shared" si="1"/>
        <v>5204.7000000000007</v>
      </c>
      <c r="P22" s="194"/>
      <c r="Q22" s="175">
        <f t="shared" si="2"/>
        <v>0</v>
      </c>
      <c r="R22" s="175">
        <f t="shared" si="13"/>
        <v>5204.7000000000007</v>
      </c>
      <c r="S22" s="175">
        <f t="shared" si="3"/>
        <v>4744.0600000000004</v>
      </c>
      <c r="T22" s="175">
        <f t="shared" si="4"/>
        <v>460.64000000000033</v>
      </c>
      <c r="U22" s="195">
        <f t="shared" si="5"/>
        <v>0.16</v>
      </c>
      <c r="V22" s="175">
        <f t="shared" si="6"/>
        <v>73.702400000000054</v>
      </c>
      <c r="W22" s="175">
        <f t="shared" si="7"/>
        <v>381</v>
      </c>
      <c r="X22" s="175">
        <f t="shared" si="8"/>
        <v>454.70240000000007</v>
      </c>
      <c r="Y22" s="175">
        <f t="shared" si="9"/>
        <v>0</v>
      </c>
      <c r="Z22" s="175">
        <f t="shared" si="14"/>
        <v>454.7</v>
      </c>
      <c r="AA22" s="196"/>
      <c r="AB22" s="175">
        <v>0</v>
      </c>
      <c r="AC22" s="175">
        <f t="shared" si="11"/>
        <v>454.7</v>
      </c>
      <c r="AD22" s="175">
        <v>0</v>
      </c>
      <c r="AE22" s="193">
        <v>0</v>
      </c>
      <c r="AF22" s="193">
        <v>0</v>
      </c>
      <c r="AG22" s="193">
        <v>0</v>
      </c>
      <c r="AH22" s="175">
        <f t="shared" si="12"/>
        <v>454.7</v>
      </c>
      <c r="AI22" s="175">
        <f t="shared" si="15"/>
        <v>4750.0000000000009</v>
      </c>
      <c r="AJ22" s="175"/>
      <c r="AK22" s="188"/>
    </row>
    <row r="23" spans="1:38" ht="18" customHeight="1" x14ac:dyDescent="0.25">
      <c r="A23" s="103"/>
      <c r="B23" s="171">
        <v>12</v>
      </c>
      <c r="C23" s="128" t="s">
        <v>365</v>
      </c>
      <c r="D23" s="164" t="s">
        <v>181</v>
      </c>
      <c r="E23" s="163"/>
      <c r="F23" s="191">
        <v>15</v>
      </c>
      <c r="G23" s="192">
        <v>346.98</v>
      </c>
      <c r="H23" s="175">
        <f t="shared" si="16"/>
        <v>5204.7000000000007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75">
        <f>SUM(H23:N23)</f>
        <v>5204.7000000000007</v>
      </c>
      <c r="P23" s="194"/>
      <c r="Q23" s="175">
        <f>IF(G23=47.16,0,IF(G23&gt;47.16,L23*0.5,0))</f>
        <v>0</v>
      </c>
      <c r="R23" s="175">
        <f>H23+I23+J23+M23+Q23+K23</f>
        <v>5204.7000000000007</v>
      </c>
      <c r="S23" s="175">
        <f t="shared" ref="S23:S28" si="17">VLOOKUP(R23,TARIFA1,1)</f>
        <v>4744.0600000000004</v>
      </c>
      <c r="T23" s="175">
        <f>R23-S23</f>
        <v>460.64000000000033</v>
      </c>
      <c r="U23" s="195">
        <f t="shared" ref="U23:U28" si="18">VLOOKUP(R23,TARIFA1,3)</f>
        <v>0.16</v>
      </c>
      <c r="V23" s="175">
        <f>T23*U23</f>
        <v>73.702400000000054</v>
      </c>
      <c r="W23" s="175">
        <f t="shared" ref="W23:W28" si="19">VLOOKUP(R23,TARIFA1,2)</f>
        <v>381</v>
      </c>
      <c r="X23" s="175">
        <f>V23+W23</f>
        <v>454.70240000000007</v>
      </c>
      <c r="Y23" s="175">
        <f t="shared" ref="Y23:Y28" si="20">VLOOKUP(R23,Credito1,2)</f>
        <v>0</v>
      </c>
      <c r="Z23" s="175">
        <f>ROUND(X23-Y23,2)</f>
        <v>454.7</v>
      </c>
      <c r="AA23" s="196"/>
      <c r="AB23" s="175">
        <v>0</v>
      </c>
      <c r="AC23" s="175">
        <f>IF(Z23&lt;0,0,Z23)</f>
        <v>454.7</v>
      </c>
      <c r="AD23" s="175">
        <v>0</v>
      </c>
      <c r="AE23" s="193">
        <v>0</v>
      </c>
      <c r="AF23" s="193">
        <v>0</v>
      </c>
      <c r="AG23" s="193">
        <v>0</v>
      </c>
      <c r="AH23" s="175">
        <f>SUM(AC23:AG23)</f>
        <v>454.7</v>
      </c>
      <c r="AI23" s="175">
        <f t="shared" si="15"/>
        <v>4750.0000000000009</v>
      </c>
      <c r="AJ23" s="175"/>
      <c r="AK23" s="188"/>
    </row>
    <row r="24" spans="1:38" ht="18" customHeight="1" x14ac:dyDescent="0.25">
      <c r="A24" s="103"/>
      <c r="B24" s="171">
        <v>13</v>
      </c>
      <c r="C24" s="128" t="s">
        <v>347</v>
      </c>
      <c r="D24" s="164" t="s">
        <v>181</v>
      </c>
      <c r="E24" s="163"/>
      <c r="F24" s="191">
        <v>15</v>
      </c>
      <c r="G24" s="192">
        <v>346.98</v>
      </c>
      <c r="H24" s="175">
        <f t="shared" si="16"/>
        <v>5204.7000000000007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75">
        <f>SUM(H24:N24)</f>
        <v>5204.7000000000007</v>
      </c>
      <c r="P24" s="194"/>
      <c r="Q24" s="175">
        <f>IF(G24=47.16,0,IF(G24&gt;47.16,L24*0.5,0))</f>
        <v>0</v>
      </c>
      <c r="R24" s="175">
        <f>H24+I24+J24+M24+Q24+K24</f>
        <v>5204.7000000000007</v>
      </c>
      <c r="S24" s="175">
        <f t="shared" si="17"/>
        <v>4744.0600000000004</v>
      </c>
      <c r="T24" s="175">
        <f>R24-S24</f>
        <v>460.64000000000033</v>
      </c>
      <c r="U24" s="195">
        <f t="shared" si="18"/>
        <v>0.16</v>
      </c>
      <c r="V24" s="175">
        <f>T24*U24</f>
        <v>73.702400000000054</v>
      </c>
      <c r="W24" s="175">
        <f t="shared" si="19"/>
        <v>381</v>
      </c>
      <c r="X24" s="175">
        <f>V24+W24</f>
        <v>454.70240000000007</v>
      </c>
      <c r="Y24" s="175">
        <f t="shared" si="20"/>
        <v>0</v>
      </c>
      <c r="Z24" s="175">
        <f>ROUND(X24-Y24,2)</f>
        <v>454.7</v>
      </c>
      <c r="AA24" s="196"/>
      <c r="AB24" s="175">
        <f>-IF(Z24&gt;0,0,Z24)</f>
        <v>0</v>
      </c>
      <c r="AC24" s="175">
        <f>IF(Z24&lt;0,0,Z24)</f>
        <v>454.7</v>
      </c>
      <c r="AD24" s="175">
        <v>0</v>
      </c>
      <c r="AE24" s="193">
        <v>0</v>
      </c>
      <c r="AF24" s="193">
        <v>0</v>
      </c>
      <c r="AG24" s="193">
        <v>0</v>
      </c>
      <c r="AH24" s="175">
        <f>SUM(AC24:AG24)</f>
        <v>454.7</v>
      </c>
      <c r="AI24" s="175">
        <f t="shared" si="15"/>
        <v>4750.0000000000009</v>
      </c>
      <c r="AJ24" s="175"/>
      <c r="AK24" s="188"/>
    </row>
    <row r="25" spans="1:38" ht="18" customHeight="1" x14ac:dyDescent="0.25">
      <c r="A25" s="103"/>
      <c r="B25" s="171">
        <v>14</v>
      </c>
      <c r="C25" s="128" t="s">
        <v>440</v>
      </c>
      <c r="D25" s="164" t="s">
        <v>181</v>
      </c>
      <c r="E25" s="163"/>
      <c r="F25" s="191">
        <v>15</v>
      </c>
      <c r="G25" s="192">
        <v>346.98</v>
      </c>
      <c r="H25" s="175">
        <f t="shared" si="16"/>
        <v>5204.7000000000007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75">
        <f>SUM(H25:N25)</f>
        <v>5204.7000000000007</v>
      </c>
      <c r="P25" s="194"/>
      <c r="Q25" s="175">
        <f t="shared" ref="Q25:Q28" si="21">IF(G25=47.16,0,IF(G25&gt;47.16,L25*0.5,0))</f>
        <v>0</v>
      </c>
      <c r="R25" s="175">
        <f t="shared" ref="R25:R28" si="22">H25+I25+J25+M25+Q25+K25</f>
        <v>5204.7000000000007</v>
      </c>
      <c r="S25" s="175">
        <f t="shared" si="17"/>
        <v>4744.0600000000004</v>
      </c>
      <c r="T25" s="175">
        <f t="shared" ref="T25:T28" si="23">R25-S25</f>
        <v>460.64000000000033</v>
      </c>
      <c r="U25" s="195">
        <f t="shared" si="18"/>
        <v>0.16</v>
      </c>
      <c r="V25" s="175">
        <f t="shared" ref="V25:V28" si="24">T25*U25</f>
        <v>73.702400000000054</v>
      </c>
      <c r="W25" s="175">
        <f t="shared" si="19"/>
        <v>381</v>
      </c>
      <c r="X25" s="175">
        <f t="shared" ref="X25:X28" si="25">V25+W25</f>
        <v>454.70240000000007</v>
      </c>
      <c r="Y25" s="175">
        <f t="shared" si="20"/>
        <v>0</v>
      </c>
      <c r="Z25" s="175">
        <f t="shared" ref="Z25:Z28" si="26">ROUND(X25-Y25,2)</f>
        <v>454.7</v>
      </c>
      <c r="AA25" s="196"/>
      <c r="AB25" s="175">
        <f>-IF(Z25&gt;0,0,Z25)</f>
        <v>0</v>
      </c>
      <c r="AC25" s="175">
        <f>IF(Z25&lt;0,0,Z25)</f>
        <v>454.7</v>
      </c>
      <c r="AD25" s="175">
        <v>0</v>
      </c>
      <c r="AE25" s="193">
        <v>0</v>
      </c>
      <c r="AF25" s="193">
        <v>0</v>
      </c>
      <c r="AG25" s="193">
        <v>0</v>
      </c>
      <c r="AH25" s="175">
        <f>SUM(AC25:AG25)</f>
        <v>454.7</v>
      </c>
      <c r="AI25" s="175">
        <f t="shared" si="15"/>
        <v>4750.0000000000009</v>
      </c>
      <c r="AJ25" s="175"/>
      <c r="AK25" s="188"/>
    </row>
    <row r="26" spans="1:38" ht="18" customHeight="1" x14ac:dyDescent="0.25">
      <c r="A26" s="103"/>
      <c r="B26" s="171">
        <v>15</v>
      </c>
      <c r="C26" s="128" t="s">
        <v>449</v>
      </c>
      <c r="D26" s="164" t="s">
        <v>181</v>
      </c>
      <c r="E26" s="163"/>
      <c r="F26" s="191">
        <v>15</v>
      </c>
      <c r="G26" s="192">
        <v>346.98</v>
      </c>
      <c r="H26" s="175">
        <f t="shared" si="16"/>
        <v>5204.7000000000007</v>
      </c>
      <c r="I26" s="193">
        <v>0</v>
      </c>
      <c r="J26" s="193">
        <v>0</v>
      </c>
      <c r="K26" s="193">
        <v>0</v>
      </c>
      <c r="L26" s="193">
        <v>0</v>
      </c>
      <c r="M26" s="193">
        <v>0</v>
      </c>
      <c r="N26" s="193">
        <v>0</v>
      </c>
      <c r="O26" s="175">
        <f>SUM(H26:N26)</f>
        <v>5204.7000000000007</v>
      </c>
      <c r="P26" s="194"/>
      <c r="Q26" s="175">
        <f t="shared" si="21"/>
        <v>0</v>
      </c>
      <c r="R26" s="175">
        <f t="shared" si="22"/>
        <v>5204.7000000000007</v>
      </c>
      <c r="S26" s="175">
        <f t="shared" si="17"/>
        <v>4744.0600000000004</v>
      </c>
      <c r="T26" s="175">
        <f t="shared" si="23"/>
        <v>460.64000000000033</v>
      </c>
      <c r="U26" s="195">
        <f t="shared" si="18"/>
        <v>0.16</v>
      </c>
      <c r="V26" s="175">
        <f t="shared" si="24"/>
        <v>73.702400000000054</v>
      </c>
      <c r="W26" s="175">
        <f t="shared" si="19"/>
        <v>381</v>
      </c>
      <c r="X26" s="175">
        <f t="shared" si="25"/>
        <v>454.70240000000007</v>
      </c>
      <c r="Y26" s="175">
        <f t="shared" si="20"/>
        <v>0</v>
      </c>
      <c r="Z26" s="175">
        <f t="shared" si="26"/>
        <v>454.7</v>
      </c>
      <c r="AA26" s="196"/>
      <c r="AB26" s="175">
        <f>-IF(Z26&gt;0,0,Z26)</f>
        <v>0</v>
      </c>
      <c r="AC26" s="175">
        <f>IF(Z26&lt;0,0,Z26)</f>
        <v>454.7</v>
      </c>
      <c r="AD26" s="175">
        <v>0</v>
      </c>
      <c r="AE26" s="193">
        <v>0</v>
      </c>
      <c r="AF26" s="193">
        <v>0</v>
      </c>
      <c r="AG26" s="193">
        <v>0</v>
      </c>
      <c r="AH26" s="175">
        <f>SUM(AC26:AG26)</f>
        <v>454.7</v>
      </c>
      <c r="AI26" s="175">
        <f t="shared" si="15"/>
        <v>4750.0000000000009</v>
      </c>
      <c r="AJ26" s="175"/>
      <c r="AK26" s="188"/>
    </row>
    <row r="27" spans="1:38" ht="18" customHeight="1" x14ac:dyDescent="0.25">
      <c r="A27" s="103"/>
      <c r="B27" s="171">
        <v>16</v>
      </c>
      <c r="C27" s="140" t="s">
        <v>443</v>
      </c>
      <c r="D27" s="172" t="s">
        <v>268</v>
      </c>
      <c r="E27" s="163"/>
      <c r="F27" s="191">
        <v>15</v>
      </c>
      <c r="G27" s="192">
        <v>346.98</v>
      </c>
      <c r="H27" s="175">
        <f t="shared" si="16"/>
        <v>5204.7000000000007</v>
      </c>
      <c r="I27" s="193">
        <v>0</v>
      </c>
      <c r="J27" s="193">
        <v>0</v>
      </c>
      <c r="K27" s="193">
        <v>0</v>
      </c>
      <c r="L27" s="193">
        <v>0</v>
      </c>
      <c r="M27" s="193">
        <v>0</v>
      </c>
      <c r="N27" s="193">
        <v>0</v>
      </c>
      <c r="O27" s="175">
        <f t="shared" ref="O27:O28" si="27">SUM(H27:N27)</f>
        <v>5204.7000000000007</v>
      </c>
      <c r="P27" s="175"/>
      <c r="Q27" s="175">
        <f t="shared" si="21"/>
        <v>0</v>
      </c>
      <c r="R27" s="175">
        <f t="shared" si="22"/>
        <v>5204.7000000000007</v>
      </c>
      <c r="S27" s="175">
        <f t="shared" si="17"/>
        <v>4744.0600000000004</v>
      </c>
      <c r="T27" s="175">
        <f t="shared" si="23"/>
        <v>460.64000000000033</v>
      </c>
      <c r="U27" s="195">
        <f t="shared" si="18"/>
        <v>0.16</v>
      </c>
      <c r="V27" s="175">
        <f t="shared" si="24"/>
        <v>73.702400000000054</v>
      </c>
      <c r="W27" s="175">
        <f t="shared" si="19"/>
        <v>381</v>
      </c>
      <c r="X27" s="175">
        <f t="shared" si="25"/>
        <v>454.70240000000007</v>
      </c>
      <c r="Y27" s="175">
        <f t="shared" si="20"/>
        <v>0</v>
      </c>
      <c r="Z27" s="175">
        <f t="shared" si="26"/>
        <v>454.7</v>
      </c>
      <c r="AA27" s="175"/>
      <c r="AB27" s="175">
        <f t="shared" ref="AB27:AB28" si="28">-IF(Z27&gt;0,0,Z27)</f>
        <v>0</v>
      </c>
      <c r="AC27" s="175">
        <f t="shared" ref="AC27:AC28" si="29">IF(Z27&lt;0,0,Z27)</f>
        <v>454.7</v>
      </c>
      <c r="AD27" s="175">
        <v>0</v>
      </c>
      <c r="AE27" s="193">
        <v>0</v>
      </c>
      <c r="AF27" s="193">
        <v>0</v>
      </c>
      <c r="AG27" s="193">
        <v>0</v>
      </c>
      <c r="AH27" s="175">
        <f t="shared" ref="AH27:AH28" si="30">SUM(AC27:AG27)</f>
        <v>454.7</v>
      </c>
      <c r="AI27" s="175">
        <f t="shared" si="15"/>
        <v>4750.0000000000009</v>
      </c>
      <c r="AJ27" s="175"/>
      <c r="AK27" s="188"/>
    </row>
    <row r="28" spans="1:38" ht="18" customHeight="1" x14ac:dyDescent="0.25">
      <c r="A28" s="103"/>
      <c r="B28" s="171">
        <v>17</v>
      </c>
      <c r="C28" s="156" t="s">
        <v>510</v>
      </c>
      <c r="D28" s="173" t="s">
        <v>181</v>
      </c>
      <c r="E28" s="174"/>
      <c r="F28" s="191">
        <v>15</v>
      </c>
      <c r="G28" s="192">
        <v>346.98</v>
      </c>
      <c r="H28" s="175">
        <f t="shared" si="16"/>
        <v>5204.7000000000007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  <c r="O28" s="175">
        <f t="shared" si="27"/>
        <v>5204.7000000000007</v>
      </c>
      <c r="P28" s="175"/>
      <c r="Q28" s="175">
        <f t="shared" si="21"/>
        <v>0</v>
      </c>
      <c r="R28" s="175">
        <f t="shared" si="22"/>
        <v>5204.7000000000007</v>
      </c>
      <c r="S28" s="175">
        <f t="shared" si="17"/>
        <v>4744.0600000000004</v>
      </c>
      <c r="T28" s="175">
        <f t="shared" si="23"/>
        <v>460.64000000000033</v>
      </c>
      <c r="U28" s="195">
        <f t="shared" si="18"/>
        <v>0.16</v>
      </c>
      <c r="V28" s="175">
        <f t="shared" si="24"/>
        <v>73.702400000000054</v>
      </c>
      <c r="W28" s="175">
        <f t="shared" si="19"/>
        <v>381</v>
      </c>
      <c r="X28" s="175">
        <f t="shared" si="25"/>
        <v>454.70240000000007</v>
      </c>
      <c r="Y28" s="175">
        <f t="shared" si="20"/>
        <v>0</v>
      </c>
      <c r="Z28" s="175">
        <f t="shared" si="26"/>
        <v>454.7</v>
      </c>
      <c r="AA28" s="175"/>
      <c r="AB28" s="175">
        <f t="shared" si="28"/>
        <v>0</v>
      </c>
      <c r="AC28" s="175">
        <f t="shared" si="29"/>
        <v>454.7</v>
      </c>
      <c r="AD28" s="175">
        <v>0</v>
      </c>
      <c r="AE28" s="193">
        <v>0</v>
      </c>
      <c r="AF28" s="193">
        <v>0</v>
      </c>
      <c r="AG28" s="193">
        <v>0</v>
      </c>
      <c r="AH28" s="175">
        <f t="shared" si="30"/>
        <v>454.7</v>
      </c>
      <c r="AI28" s="175">
        <f t="shared" si="15"/>
        <v>4750.0000000000009</v>
      </c>
      <c r="AJ28" s="197"/>
      <c r="AK28" s="188"/>
    </row>
    <row r="29" spans="1:38" ht="18" customHeight="1" x14ac:dyDescent="0.25">
      <c r="A29" s="103"/>
      <c r="B29" s="478"/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79"/>
      <c r="AG29" s="479"/>
      <c r="AH29" s="479"/>
      <c r="AI29" s="479"/>
      <c r="AJ29" s="480"/>
      <c r="AK29" s="188"/>
    </row>
    <row r="30" spans="1:38" ht="18" customHeight="1" x14ac:dyDescent="0.25">
      <c r="A30" s="103"/>
      <c r="B30" s="458" t="s">
        <v>68</v>
      </c>
      <c r="C30" s="458"/>
      <c r="D30" s="458"/>
      <c r="E30" s="458"/>
      <c r="F30" s="458"/>
      <c r="G30" s="458"/>
      <c r="H30" s="198">
        <f>SUM(H12:H28)</f>
        <v>88620.449999999983</v>
      </c>
      <c r="I30" s="198">
        <f t="shared" ref="I30:AH30" si="31">SUM(I12:I28)</f>
        <v>0</v>
      </c>
      <c r="J30" s="198">
        <f t="shared" si="31"/>
        <v>0</v>
      </c>
      <c r="K30" s="198">
        <f t="shared" si="31"/>
        <v>0</v>
      </c>
      <c r="L30" s="198">
        <f t="shared" si="31"/>
        <v>0</v>
      </c>
      <c r="M30" s="198">
        <f t="shared" si="31"/>
        <v>0</v>
      </c>
      <c r="N30" s="198">
        <f t="shared" si="31"/>
        <v>0</v>
      </c>
      <c r="O30" s="198">
        <f t="shared" si="31"/>
        <v>88620.449999999983</v>
      </c>
      <c r="P30" s="198">
        <f t="shared" si="31"/>
        <v>0</v>
      </c>
      <c r="Q30" s="198">
        <f t="shared" si="31"/>
        <v>0</v>
      </c>
      <c r="R30" s="198">
        <f t="shared" si="31"/>
        <v>88620.449999999983</v>
      </c>
      <c r="S30" s="198">
        <f t="shared" si="31"/>
        <v>78852.319999999992</v>
      </c>
      <c r="T30" s="198">
        <f t="shared" si="31"/>
        <v>9768.130000000001</v>
      </c>
      <c r="U30" s="198">
        <f t="shared" si="31"/>
        <v>2.6968000000000005</v>
      </c>
      <c r="V30" s="198">
        <f t="shared" si="31"/>
        <v>1513.2103520000007</v>
      </c>
      <c r="W30" s="198">
        <f t="shared" si="31"/>
        <v>6543.75</v>
      </c>
      <c r="X30" s="198">
        <f t="shared" si="31"/>
        <v>8056.960352000001</v>
      </c>
      <c r="Y30" s="198">
        <f t="shared" si="31"/>
        <v>200.7</v>
      </c>
      <c r="Z30" s="198">
        <f t="shared" si="31"/>
        <v>7856.2299999999977</v>
      </c>
      <c r="AA30" s="198">
        <f t="shared" si="31"/>
        <v>0</v>
      </c>
      <c r="AB30" s="198">
        <f t="shared" si="31"/>
        <v>112.5</v>
      </c>
      <c r="AC30" s="198">
        <f t="shared" si="31"/>
        <v>7968.7299999999977</v>
      </c>
      <c r="AD30" s="198">
        <f t="shared" si="31"/>
        <v>0</v>
      </c>
      <c r="AE30" s="198">
        <f t="shared" si="31"/>
        <v>0</v>
      </c>
      <c r="AF30" s="198">
        <f t="shared" si="31"/>
        <v>0</v>
      </c>
      <c r="AG30" s="198">
        <f t="shared" si="31"/>
        <v>0</v>
      </c>
      <c r="AH30" s="198">
        <f t="shared" si="31"/>
        <v>7968.7299999999977</v>
      </c>
      <c r="AI30" s="198">
        <f>SUM(AI12:AI28)</f>
        <v>80764.22</v>
      </c>
      <c r="AJ30" s="175"/>
      <c r="AK30" s="188"/>
      <c r="AL30" s="108">
        <f>O30+AB30-AH30</f>
        <v>80764.219999999987</v>
      </c>
    </row>
    <row r="31" spans="1:38" ht="18" customHeight="1" x14ac:dyDescent="0.25">
      <c r="A31" s="103"/>
      <c r="B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88"/>
    </row>
    <row r="32" spans="1:38" ht="18" customHeight="1" x14ac:dyDescent="0.25">
      <c r="A32" s="103" t="s">
        <v>102</v>
      </c>
      <c r="B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88"/>
    </row>
    <row r="33" spans="1:37" ht="18" customHeight="1" x14ac:dyDescent="0.25">
      <c r="A33" s="103"/>
      <c r="B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88"/>
    </row>
    <row r="34" spans="1:37" ht="18" customHeight="1" thickBot="1" x14ac:dyDescent="0.3">
      <c r="A34" s="103"/>
      <c r="B34" s="167"/>
      <c r="C34" s="185"/>
      <c r="D34" s="18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86"/>
      <c r="AC34" s="186"/>
      <c r="AD34" s="186"/>
      <c r="AE34" s="186"/>
      <c r="AF34" s="186"/>
      <c r="AG34" s="186"/>
      <c r="AH34" s="186"/>
      <c r="AI34" s="186"/>
      <c r="AJ34" s="167"/>
      <c r="AK34" s="188"/>
    </row>
    <row r="35" spans="1:37" ht="25.5" customHeight="1" x14ac:dyDescent="0.25">
      <c r="A35" s="103"/>
      <c r="B35" s="167"/>
      <c r="C35" s="417" t="s">
        <v>295</v>
      </c>
      <c r="D35" s="41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454" t="s">
        <v>296</v>
      </c>
      <c r="AC35" s="454"/>
      <c r="AD35" s="454"/>
      <c r="AE35" s="454"/>
      <c r="AF35" s="454"/>
      <c r="AG35" s="454"/>
      <c r="AH35" s="454"/>
      <c r="AI35" s="454"/>
      <c r="AJ35" s="167"/>
      <c r="AK35" s="188"/>
    </row>
    <row r="36" spans="1:37" ht="26.25" customHeight="1" x14ac:dyDescent="0.25">
      <c r="A36" s="103"/>
      <c r="B36" s="167"/>
      <c r="C36" s="406" t="s">
        <v>257</v>
      </c>
      <c r="D36" s="406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440" t="s">
        <v>104</v>
      </c>
      <c r="AC36" s="440"/>
      <c r="AD36" s="440"/>
      <c r="AE36" s="440"/>
      <c r="AF36" s="440"/>
      <c r="AG36" s="440"/>
      <c r="AH36" s="440"/>
      <c r="AI36" s="440"/>
      <c r="AJ36" s="167"/>
      <c r="AK36" s="188"/>
    </row>
    <row r="37" spans="1:37" ht="18" customHeight="1" x14ac:dyDescent="0.25"/>
    <row r="39" spans="1:37" x14ac:dyDescent="0.25">
      <c r="AH39" s="112"/>
      <c r="AI39" s="112"/>
    </row>
    <row r="40" spans="1:37" x14ac:dyDescent="0.25">
      <c r="AH40" s="112"/>
      <c r="AI40" s="116"/>
    </row>
    <row r="41" spans="1:37" x14ac:dyDescent="0.25">
      <c r="AH41" s="112"/>
      <c r="AI41" s="116"/>
    </row>
    <row r="42" spans="1:37" x14ac:dyDescent="0.25">
      <c r="AH42" s="112"/>
      <c r="AI42" s="112"/>
    </row>
    <row r="43" spans="1:37" x14ac:dyDescent="0.25">
      <c r="AH43" s="112"/>
      <c r="AI43" s="116"/>
    </row>
    <row r="45" spans="1:37" x14ac:dyDescent="0.25">
      <c r="AI45" s="108"/>
    </row>
  </sheetData>
  <mergeCells count="10">
    <mergeCell ref="C35:D35"/>
    <mergeCell ref="C36:D36"/>
    <mergeCell ref="AB35:AI35"/>
    <mergeCell ref="AB36:AI36"/>
    <mergeCell ref="B8:AI8"/>
    <mergeCell ref="H9:O9"/>
    <mergeCell ref="S9:X9"/>
    <mergeCell ref="AC9:AH9"/>
    <mergeCell ref="B30:G30"/>
    <mergeCell ref="B29:AJ29"/>
  </mergeCells>
  <pageMargins left="0.7" right="0.7" top="0.75" bottom="0.75" header="0.3" footer="0.3"/>
  <pageSetup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R59"/>
  <sheetViews>
    <sheetView showGridLines="0" tabSelected="1" zoomScale="64" zoomScaleNormal="64" workbookViewId="0">
      <selection activeCell="E13" sqref="E13"/>
    </sheetView>
  </sheetViews>
  <sheetFormatPr baseColWidth="10" defaultColWidth="11.453125" defaultRowHeight="12.5" x14ac:dyDescent="0.25"/>
  <cols>
    <col min="1" max="1" width="2.7265625" style="100" customWidth="1"/>
    <col min="2" max="2" width="4.54296875" style="100" customWidth="1"/>
    <col min="3" max="3" width="39.1796875" style="127" customWidth="1"/>
    <col min="4" max="4" width="21.81640625" style="100" customWidth="1"/>
    <col min="5" max="5" width="26.7265625" style="100" customWidth="1"/>
    <col min="6" max="6" width="6.54296875" style="100" customWidth="1"/>
    <col min="7" max="7" width="10" style="100" customWidth="1"/>
    <col min="8" max="8" width="16.7265625" style="100" customWidth="1"/>
    <col min="9" max="9" width="11.81640625" style="100" hidden="1" customWidth="1"/>
    <col min="10" max="10" width="12.1796875" style="100" hidden="1" customWidth="1"/>
    <col min="11" max="11" width="11.54296875" style="100" hidden="1" customWidth="1"/>
    <col min="12" max="12" width="12" style="100" hidden="1" customWidth="1"/>
    <col min="13" max="13" width="12.7265625" style="100" hidden="1" customWidth="1"/>
    <col min="14" max="14" width="8.453125" style="100" hidden="1" customWidth="1"/>
    <col min="15" max="15" width="15" style="100" customWidth="1"/>
    <col min="16" max="16" width="8.7265625" style="100" hidden="1" customWidth="1"/>
    <col min="17" max="17" width="13.1796875" style="100" hidden="1" customWidth="1"/>
    <col min="18" max="18" width="12.54296875" style="100" hidden="1" customWidth="1"/>
    <col min="19" max="20" width="11" style="100" hidden="1" customWidth="1"/>
    <col min="21" max="22" width="13.1796875" style="100" hidden="1" customWidth="1"/>
    <col min="23" max="23" width="10.54296875" style="100" hidden="1" customWidth="1"/>
    <col min="24" max="24" width="11.453125" style="100" hidden="1" customWidth="1"/>
    <col min="25" max="25" width="13.1796875" style="100" hidden="1" customWidth="1"/>
    <col min="26" max="26" width="11.54296875" style="100" hidden="1" customWidth="1"/>
    <col min="27" max="27" width="7.7265625" style="100" hidden="1" customWidth="1"/>
    <col min="28" max="28" width="9.7265625" style="100" customWidth="1"/>
    <col min="29" max="29" width="10.81640625" style="100" customWidth="1"/>
    <col min="30" max="30" width="11.26953125" style="100" hidden="1" customWidth="1"/>
    <col min="31" max="31" width="10.453125" style="100" hidden="1" customWidth="1"/>
    <col min="32" max="32" width="12.26953125" style="100" hidden="1" customWidth="1"/>
    <col min="33" max="33" width="10.7265625" style="100" hidden="1" customWidth="1"/>
    <col min="34" max="34" width="14" style="100" customWidth="1"/>
    <col min="35" max="35" width="16.453125" style="100" customWidth="1"/>
    <col min="36" max="36" width="26.26953125" style="100" customWidth="1"/>
    <col min="37" max="37" width="12.26953125" style="99" bestFit="1" customWidth="1"/>
    <col min="38" max="16384" width="11.453125" style="100"/>
  </cols>
  <sheetData>
    <row r="1" spans="1:44" x14ac:dyDescent="0.25">
      <c r="B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70"/>
    </row>
    <row r="2" spans="1:44" x14ac:dyDescent="0.25">
      <c r="B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70"/>
    </row>
    <row r="3" spans="1:44" x14ac:dyDescent="0.25">
      <c r="B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70"/>
    </row>
    <row r="4" spans="1:44" x14ac:dyDescent="0.25">
      <c r="B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70"/>
    </row>
    <row r="5" spans="1:44" ht="28.5" customHeight="1" x14ac:dyDescent="0.25">
      <c r="B5" s="201"/>
      <c r="C5" s="202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3"/>
    </row>
    <row r="6" spans="1:44" ht="26.25" customHeight="1" x14ac:dyDescent="0.25">
      <c r="B6" s="201"/>
      <c r="C6" s="202"/>
      <c r="D6" s="201"/>
      <c r="E6" s="201"/>
      <c r="F6" s="362" t="s">
        <v>154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3"/>
    </row>
    <row r="7" spans="1:44" s="99" customFormat="1" ht="13.5" x14ac:dyDescent="0.25">
      <c r="A7" s="100"/>
      <c r="B7" s="456" t="str">
        <f>+REGIDORES!B11</f>
        <v>NOMINA DEL 01 AL 15 DE DICIEMBRE DEL 2021</v>
      </c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201"/>
      <c r="AK7" s="203"/>
      <c r="AQ7" s="117"/>
      <c r="AR7" s="105" t="s">
        <v>207</v>
      </c>
    </row>
    <row r="8" spans="1:44" s="99" customFormat="1" ht="13" x14ac:dyDescent="0.25">
      <c r="A8" s="100"/>
      <c r="B8" s="171"/>
      <c r="C8" s="160"/>
      <c r="D8" s="171"/>
      <c r="E8" s="171"/>
      <c r="F8" s="169" t="s">
        <v>285</v>
      </c>
      <c r="G8" s="169" t="s">
        <v>9</v>
      </c>
      <c r="H8" s="458" t="s">
        <v>2</v>
      </c>
      <c r="I8" s="458"/>
      <c r="J8" s="458"/>
      <c r="K8" s="458"/>
      <c r="L8" s="458"/>
      <c r="M8" s="458"/>
      <c r="N8" s="458"/>
      <c r="O8" s="458"/>
      <c r="P8" s="169"/>
      <c r="Q8" s="169" t="s">
        <v>48</v>
      </c>
      <c r="R8" s="169"/>
      <c r="S8" s="458" t="s">
        <v>30</v>
      </c>
      <c r="T8" s="458"/>
      <c r="U8" s="458"/>
      <c r="V8" s="458"/>
      <c r="W8" s="458"/>
      <c r="X8" s="458"/>
      <c r="Y8" s="169" t="s">
        <v>286</v>
      </c>
      <c r="Z8" s="169" t="s">
        <v>31</v>
      </c>
      <c r="AA8" s="169"/>
      <c r="AB8" s="169" t="s">
        <v>87</v>
      </c>
      <c r="AC8" s="458" t="s">
        <v>3</v>
      </c>
      <c r="AD8" s="458"/>
      <c r="AE8" s="458"/>
      <c r="AF8" s="458"/>
      <c r="AG8" s="458"/>
      <c r="AH8" s="458"/>
      <c r="AI8" s="169" t="s">
        <v>0</v>
      </c>
      <c r="AJ8" s="171"/>
      <c r="AK8" s="203"/>
      <c r="AQ8" s="122"/>
      <c r="AR8" s="105" t="s">
        <v>208</v>
      </c>
    </row>
    <row r="9" spans="1:44" s="99" customFormat="1" ht="13" x14ac:dyDescent="0.25">
      <c r="A9" s="100"/>
      <c r="B9" s="169" t="s">
        <v>287</v>
      </c>
      <c r="C9" s="168" t="s">
        <v>43</v>
      </c>
      <c r="D9" s="169" t="s">
        <v>101</v>
      </c>
      <c r="E9" s="169" t="s">
        <v>216</v>
      </c>
      <c r="F9" s="190" t="s">
        <v>44</v>
      </c>
      <c r="G9" s="169" t="s">
        <v>45</v>
      </c>
      <c r="H9" s="169" t="s">
        <v>9</v>
      </c>
      <c r="I9" s="169" t="s">
        <v>46</v>
      </c>
      <c r="J9" s="169" t="s">
        <v>46</v>
      </c>
      <c r="K9" s="169" t="s">
        <v>73</v>
      </c>
      <c r="L9" s="169" t="s">
        <v>48</v>
      </c>
      <c r="M9" s="169" t="s">
        <v>50</v>
      </c>
      <c r="N9" s="169" t="s">
        <v>50</v>
      </c>
      <c r="O9" s="169" t="s">
        <v>53</v>
      </c>
      <c r="P9" s="169"/>
      <c r="Q9" s="169" t="s">
        <v>49</v>
      </c>
      <c r="R9" s="169" t="s">
        <v>56</v>
      </c>
      <c r="S9" s="169" t="s">
        <v>33</v>
      </c>
      <c r="T9" s="169" t="s">
        <v>58</v>
      </c>
      <c r="U9" s="169" t="s">
        <v>60</v>
      </c>
      <c r="V9" s="169" t="s">
        <v>61</v>
      </c>
      <c r="W9" s="169" t="s">
        <v>35</v>
      </c>
      <c r="X9" s="169" t="s">
        <v>31</v>
      </c>
      <c r="Y9" s="169" t="s">
        <v>64</v>
      </c>
      <c r="Z9" s="169" t="s">
        <v>65</v>
      </c>
      <c r="AA9" s="169"/>
      <c r="AB9" s="169" t="s">
        <v>55</v>
      </c>
      <c r="AC9" s="169" t="s">
        <v>4</v>
      </c>
      <c r="AD9" s="169" t="s">
        <v>5</v>
      </c>
      <c r="AE9" s="169" t="s">
        <v>286</v>
      </c>
      <c r="AF9" s="169" t="s">
        <v>74</v>
      </c>
      <c r="AG9" s="169" t="s">
        <v>99</v>
      </c>
      <c r="AH9" s="169" t="s">
        <v>10</v>
      </c>
      <c r="AI9" s="169" t="s">
        <v>6</v>
      </c>
      <c r="AJ9" s="171"/>
      <c r="AK9" s="203"/>
    </row>
    <row r="10" spans="1:44" s="99" customFormat="1" ht="12" customHeight="1" x14ac:dyDescent="0.25">
      <c r="A10" s="100"/>
      <c r="B10" s="169"/>
      <c r="C10" s="168"/>
      <c r="D10" s="169"/>
      <c r="E10" s="169"/>
      <c r="F10" s="169"/>
      <c r="G10" s="169"/>
      <c r="H10" s="169" t="s">
        <v>70</v>
      </c>
      <c r="I10" s="169" t="s">
        <v>76</v>
      </c>
      <c r="J10" s="169" t="s">
        <v>47</v>
      </c>
      <c r="K10" s="169"/>
      <c r="L10" s="169" t="s">
        <v>49</v>
      </c>
      <c r="M10" s="169" t="s">
        <v>51</v>
      </c>
      <c r="N10" s="169" t="s">
        <v>52</v>
      </c>
      <c r="O10" s="169" t="s">
        <v>288</v>
      </c>
      <c r="P10" s="169"/>
      <c r="Q10" s="169" t="s">
        <v>66</v>
      </c>
      <c r="R10" s="169" t="s">
        <v>57</v>
      </c>
      <c r="S10" s="169" t="s">
        <v>34</v>
      </c>
      <c r="T10" s="169" t="s">
        <v>59</v>
      </c>
      <c r="U10" s="169" t="s">
        <v>59</v>
      </c>
      <c r="V10" s="169" t="s">
        <v>62</v>
      </c>
      <c r="W10" s="169" t="s">
        <v>36</v>
      </c>
      <c r="X10" s="169" t="s">
        <v>63</v>
      </c>
      <c r="Y10" s="169" t="s">
        <v>40</v>
      </c>
      <c r="Z10" s="169" t="s">
        <v>94</v>
      </c>
      <c r="AA10" s="169"/>
      <c r="AB10" s="169" t="s">
        <v>86</v>
      </c>
      <c r="AC10" s="169"/>
      <c r="AD10" s="169"/>
      <c r="AE10" s="169" t="s">
        <v>72</v>
      </c>
      <c r="AF10" s="169" t="s">
        <v>75</v>
      </c>
      <c r="AG10" s="169"/>
      <c r="AH10" s="169" t="s">
        <v>67</v>
      </c>
      <c r="AI10" s="169" t="s">
        <v>7</v>
      </c>
      <c r="AJ10" s="169" t="s">
        <v>100</v>
      </c>
      <c r="AK10" s="203"/>
      <c r="AN10" s="105" t="s">
        <v>201</v>
      </c>
    </row>
    <row r="11" spans="1:44" s="99" customFormat="1" ht="28.5" customHeight="1" x14ac:dyDescent="0.3">
      <c r="A11" s="100"/>
      <c r="B11" s="171">
        <v>1</v>
      </c>
      <c r="C11" s="161" t="s">
        <v>544</v>
      </c>
      <c r="D11" s="191" t="s">
        <v>113</v>
      </c>
      <c r="E11" s="176"/>
      <c r="F11" s="191">
        <v>15</v>
      </c>
      <c r="G11" s="204">
        <v>613.53</v>
      </c>
      <c r="H11" s="205">
        <f>F11*G11</f>
        <v>9202.9499999999989</v>
      </c>
      <c r="I11" s="206">
        <v>0</v>
      </c>
      <c r="J11" s="206">
        <v>0</v>
      </c>
      <c r="K11" s="206">
        <v>0</v>
      </c>
      <c r="L11" s="206">
        <v>0</v>
      </c>
      <c r="M11" s="206">
        <v>0</v>
      </c>
      <c r="N11" s="206">
        <v>0</v>
      </c>
      <c r="O11" s="205">
        <f t="shared" ref="O11:O21" si="0">SUM(H11:N11)</f>
        <v>9202.9499999999989</v>
      </c>
      <c r="P11" s="207"/>
      <c r="Q11" s="205">
        <f t="shared" ref="Q11:Q21" si="1">IF(G11=47.16,0,IF(G11&gt;47.16,L11*0.5,0))</f>
        <v>0</v>
      </c>
      <c r="R11" s="205">
        <f t="shared" ref="R11:R21" si="2">H11+I11+J11+M11+Q11+K11</f>
        <v>9202.9499999999989</v>
      </c>
      <c r="S11" s="205">
        <f t="shared" ref="S11:S21" si="3">VLOOKUP(R11,TARIFA1,1)</f>
        <v>6602.71</v>
      </c>
      <c r="T11" s="205">
        <f t="shared" ref="T11:T21" si="4">R11-S11</f>
        <v>2600.2399999999989</v>
      </c>
      <c r="U11" s="208">
        <f t="shared" ref="U11:U21" si="5">VLOOKUP(R11,TARIFA1,3)</f>
        <v>0.21360000000000001</v>
      </c>
      <c r="V11" s="205">
        <f>T11*U11</f>
        <v>555.41126399999985</v>
      </c>
      <c r="W11" s="205">
        <f t="shared" ref="W11:W21" si="6">VLOOKUP(R11,TARIFA1,2)</f>
        <v>699.3</v>
      </c>
      <c r="X11" s="205">
        <f t="shared" ref="X11:X21" si="7">V11+W11</f>
        <v>1254.7112639999998</v>
      </c>
      <c r="Y11" s="205">
        <f t="shared" ref="Y11:Y21" si="8">VLOOKUP(R11,Credito1,2)</f>
        <v>0</v>
      </c>
      <c r="Z11" s="205">
        <f>ROUND(X11-Y11,2)</f>
        <v>1254.71</v>
      </c>
      <c r="AA11" s="209"/>
      <c r="AB11" s="205">
        <f t="shared" ref="AB11:AB21" si="9">IF(Y11&lt;0,0,Y11)</f>
        <v>0</v>
      </c>
      <c r="AC11" s="205">
        <f t="shared" ref="AC11:AC21" si="10">IF(Z11&lt;0,0,Z11)</f>
        <v>1254.71</v>
      </c>
      <c r="AD11" s="205">
        <v>0</v>
      </c>
      <c r="AE11" s="206">
        <v>0</v>
      </c>
      <c r="AF11" s="206">
        <v>0</v>
      </c>
      <c r="AG11" s="206">
        <v>0</v>
      </c>
      <c r="AH11" s="205">
        <f t="shared" ref="AH11:AH21" si="11">SUM(AC11:AG11)</f>
        <v>1254.71</v>
      </c>
      <c r="AI11" s="205">
        <f>O11+AB11-AH11</f>
        <v>7948.2399999999989</v>
      </c>
      <c r="AJ11" s="205"/>
      <c r="AK11" s="210"/>
      <c r="AL11" s="101"/>
      <c r="AM11" s="101"/>
    </row>
    <row r="12" spans="1:44" s="99" customFormat="1" ht="28.5" customHeight="1" x14ac:dyDescent="0.3">
      <c r="A12" s="100"/>
      <c r="B12" s="171">
        <v>2</v>
      </c>
      <c r="C12" s="161" t="s">
        <v>539</v>
      </c>
      <c r="D12" s="191" t="s">
        <v>234</v>
      </c>
      <c r="E12" s="176"/>
      <c r="F12" s="191">
        <v>15</v>
      </c>
      <c r="G12" s="204">
        <v>453.33</v>
      </c>
      <c r="H12" s="205">
        <f t="shared" ref="H12:H39" si="12">F12*G12</f>
        <v>6799.95</v>
      </c>
      <c r="I12" s="206">
        <v>0</v>
      </c>
      <c r="J12" s="206">
        <v>0</v>
      </c>
      <c r="K12" s="206">
        <v>0</v>
      </c>
      <c r="L12" s="206">
        <v>0</v>
      </c>
      <c r="M12" s="206">
        <v>0</v>
      </c>
      <c r="N12" s="206">
        <v>0</v>
      </c>
      <c r="O12" s="205">
        <f t="shared" si="0"/>
        <v>6799.95</v>
      </c>
      <c r="P12" s="207"/>
      <c r="Q12" s="205">
        <f t="shared" si="1"/>
        <v>0</v>
      </c>
      <c r="R12" s="205">
        <f t="shared" si="2"/>
        <v>6799.95</v>
      </c>
      <c r="S12" s="205">
        <f t="shared" si="3"/>
        <v>6602.71</v>
      </c>
      <c r="T12" s="205">
        <f t="shared" si="4"/>
        <v>197.23999999999978</v>
      </c>
      <c r="U12" s="208">
        <f t="shared" si="5"/>
        <v>0.21360000000000001</v>
      </c>
      <c r="V12" s="205">
        <f t="shared" ref="V12:V15" si="13">T12*U12</f>
        <v>42.130463999999954</v>
      </c>
      <c r="W12" s="205">
        <f t="shared" si="6"/>
        <v>699.3</v>
      </c>
      <c r="X12" s="205">
        <f t="shared" si="7"/>
        <v>741.43046399999992</v>
      </c>
      <c r="Y12" s="205">
        <f t="shared" si="8"/>
        <v>0</v>
      </c>
      <c r="Z12" s="205">
        <f t="shared" ref="Z12:Z15" si="14">ROUND(X12-Y12,2)</f>
        <v>741.43</v>
      </c>
      <c r="AA12" s="209"/>
      <c r="AB12" s="205">
        <f t="shared" si="9"/>
        <v>0</v>
      </c>
      <c r="AC12" s="205">
        <f t="shared" si="10"/>
        <v>741.43</v>
      </c>
      <c r="AD12" s="205">
        <v>0</v>
      </c>
      <c r="AE12" s="205">
        <v>0</v>
      </c>
      <c r="AF12" s="205">
        <v>0</v>
      </c>
      <c r="AG12" s="205">
        <v>0</v>
      </c>
      <c r="AH12" s="205">
        <f t="shared" si="11"/>
        <v>741.43</v>
      </c>
      <c r="AI12" s="205">
        <f t="shared" ref="AI12:AI39" si="15">O12+AB12-AH12</f>
        <v>6058.5199999999995</v>
      </c>
      <c r="AJ12" s="205"/>
      <c r="AK12" s="210"/>
      <c r="AL12" s="101"/>
      <c r="AM12" s="101"/>
    </row>
    <row r="13" spans="1:44" s="99" customFormat="1" ht="28.5" customHeight="1" x14ac:dyDescent="0.3">
      <c r="A13" s="100"/>
      <c r="B13" s="171">
        <v>3</v>
      </c>
      <c r="C13" s="161" t="s">
        <v>542</v>
      </c>
      <c r="D13" s="191" t="s">
        <v>256</v>
      </c>
      <c r="E13" s="176"/>
      <c r="F13" s="191">
        <v>15</v>
      </c>
      <c r="G13" s="204">
        <v>378.6</v>
      </c>
      <c r="H13" s="205">
        <f t="shared" si="12"/>
        <v>5679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5">
        <f t="shared" si="0"/>
        <v>5679</v>
      </c>
      <c r="P13" s="207"/>
      <c r="Q13" s="205">
        <v>0</v>
      </c>
      <c r="R13" s="205">
        <f t="shared" si="2"/>
        <v>5679</v>
      </c>
      <c r="S13" s="205">
        <f t="shared" si="3"/>
        <v>5514.76</v>
      </c>
      <c r="T13" s="205">
        <f t="shared" si="4"/>
        <v>164.23999999999978</v>
      </c>
      <c r="U13" s="208">
        <f t="shared" si="5"/>
        <v>0.1792</v>
      </c>
      <c r="V13" s="205">
        <f t="shared" si="13"/>
        <v>29.431807999999961</v>
      </c>
      <c r="W13" s="205">
        <f t="shared" si="6"/>
        <v>504.3</v>
      </c>
      <c r="X13" s="205">
        <f t="shared" si="7"/>
        <v>533.731808</v>
      </c>
      <c r="Y13" s="205">
        <f t="shared" si="8"/>
        <v>0</v>
      </c>
      <c r="Z13" s="205">
        <f t="shared" si="14"/>
        <v>533.73</v>
      </c>
      <c r="AA13" s="209"/>
      <c r="AB13" s="205">
        <f t="shared" si="9"/>
        <v>0</v>
      </c>
      <c r="AC13" s="205">
        <f t="shared" si="10"/>
        <v>533.73</v>
      </c>
      <c r="AD13" s="205">
        <v>0</v>
      </c>
      <c r="AE13" s="205">
        <v>0</v>
      </c>
      <c r="AF13" s="205">
        <v>0</v>
      </c>
      <c r="AG13" s="205">
        <v>0</v>
      </c>
      <c r="AH13" s="205">
        <f t="shared" si="11"/>
        <v>533.73</v>
      </c>
      <c r="AI13" s="205">
        <f t="shared" si="15"/>
        <v>5145.2700000000004</v>
      </c>
      <c r="AJ13" s="205"/>
      <c r="AK13" s="210"/>
      <c r="AL13" s="101"/>
      <c r="AM13" s="101"/>
    </row>
    <row r="14" spans="1:44" s="99" customFormat="1" ht="28.5" customHeight="1" x14ac:dyDescent="0.3">
      <c r="A14" s="100"/>
      <c r="B14" s="171">
        <v>4</v>
      </c>
      <c r="C14" s="161" t="s">
        <v>546</v>
      </c>
      <c r="D14" s="191" t="s">
        <v>256</v>
      </c>
      <c r="E14" s="176"/>
      <c r="F14" s="191">
        <v>15</v>
      </c>
      <c r="G14" s="204">
        <v>378.6</v>
      </c>
      <c r="H14" s="205">
        <f t="shared" si="12"/>
        <v>5679</v>
      </c>
      <c r="I14" s="206">
        <v>0</v>
      </c>
      <c r="J14" s="206">
        <v>0</v>
      </c>
      <c r="K14" s="206">
        <v>0</v>
      </c>
      <c r="L14" s="206">
        <v>0</v>
      </c>
      <c r="M14" s="206">
        <v>0</v>
      </c>
      <c r="N14" s="206">
        <v>0</v>
      </c>
      <c r="O14" s="205">
        <f t="shared" si="0"/>
        <v>5679</v>
      </c>
      <c r="P14" s="207"/>
      <c r="Q14" s="205">
        <f t="shared" si="1"/>
        <v>0</v>
      </c>
      <c r="R14" s="205">
        <f t="shared" si="2"/>
        <v>5679</v>
      </c>
      <c r="S14" s="205">
        <f t="shared" si="3"/>
        <v>5514.76</v>
      </c>
      <c r="T14" s="205">
        <f t="shared" si="4"/>
        <v>164.23999999999978</v>
      </c>
      <c r="U14" s="208">
        <f t="shared" si="5"/>
        <v>0.1792</v>
      </c>
      <c r="V14" s="205">
        <f t="shared" si="13"/>
        <v>29.431807999999961</v>
      </c>
      <c r="W14" s="205">
        <f t="shared" si="6"/>
        <v>504.3</v>
      </c>
      <c r="X14" s="205">
        <f t="shared" si="7"/>
        <v>533.731808</v>
      </c>
      <c r="Y14" s="205">
        <f t="shared" si="8"/>
        <v>0</v>
      </c>
      <c r="Z14" s="205">
        <f t="shared" si="14"/>
        <v>533.73</v>
      </c>
      <c r="AA14" s="209"/>
      <c r="AB14" s="205">
        <f t="shared" si="9"/>
        <v>0</v>
      </c>
      <c r="AC14" s="205">
        <f t="shared" si="10"/>
        <v>533.73</v>
      </c>
      <c r="AD14" s="205">
        <v>0</v>
      </c>
      <c r="AE14" s="206">
        <v>0</v>
      </c>
      <c r="AF14" s="206">
        <v>0</v>
      </c>
      <c r="AG14" s="206">
        <v>0</v>
      </c>
      <c r="AH14" s="205">
        <f t="shared" si="11"/>
        <v>533.73</v>
      </c>
      <c r="AI14" s="205">
        <f t="shared" si="15"/>
        <v>5145.2700000000004</v>
      </c>
      <c r="AJ14" s="205"/>
      <c r="AK14" s="210"/>
      <c r="AL14" s="101"/>
      <c r="AM14" s="101"/>
    </row>
    <row r="15" spans="1:44" s="99" customFormat="1" ht="28.5" customHeight="1" x14ac:dyDescent="0.3">
      <c r="A15" s="100"/>
      <c r="B15" s="171">
        <v>5</v>
      </c>
      <c r="C15" s="161" t="s">
        <v>540</v>
      </c>
      <c r="D15" s="191" t="s">
        <v>155</v>
      </c>
      <c r="E15" s="176"/>
      <c r="F15" s="191">
        <v>15</v>
      </c>
      <c r="G15" s="204">
        <v>326.93</v>
      </c>
      <c r="H15" s="205">
        <f t="shared" si="12"/>
        <v>4903.95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5">
        <f t="shared" si="0"/>
        <v>4903.95</v>
      </c>
      <c r="P15" s="207"/>
      <c r="Q15" s="205">
        <f t="shared" si="1"/>
        <v>0</v>
      </c>
      <c r="R15" s="205">
        <f t="shared" si="2"/>
        <v>4903.95</v>
      </c>
      <c r="S15" s="205">
        <f t="shared" si="3"/>
        <v>4744.0600000000004</v>
      </c>
      <c r="T15" s="205">
        <f t="shared" si="4"/>
        <v>159.88999999999942</v>
      </c>
      <c r="U15" s="208">
        <f t="shared" si="5"/>
        <v>0.16</v>
      </c>
      <c r="V15" s="205">
        <f t="shared" si="13"/>
        <v>25.582399999999907</v>
      </c>
      <c r="W15" s="205">
        <f t="shared" si="6"/>
        <v>381</v>
      </c>
      <c r="X15" s="205">
        <f t="shared" si="7"/>
        <v>406.58239999999989</v>
      </c>
      <c r="Y15" s="205">
        <f t="shared" si="8"/>
        <v>0</v>
      </c>
      <c r="Z15" s="205">
        <f t="shared" si="14"/>
        <v>406.58</v>
      </c>
      <c r="AA15" s="209"/>
      <c r="AB15" s="205">
        <f t="shared" si="9"/>
        <v>0</v>
      </c>
      <c r="AC15" s="205">
        <f t="shared" si="10"/>
        <v>406.58</v>
      </c>
      <c r="AD15" s="205">
        <v>0</v>
      </c>
      <c r="AE15" s="206">
        <v>0</v>
      </c>
      <c r="AF15" s="206">
        <v>0</v>
      </c>
      <c r="AG15" s="206">
        <v>0</v>
      </c>
      <c r="AH15" s="205">
        <f t="shared" si="11"/>
        <v>406.58</v>
      </c>
      <c r="AI15" s="205">
        <f t="shared" si="15"/>
        <v>4497.37</v>
      </c>
      <c r="AJ15" s="205"/>
      <c r="AK15" s="210"/>
      <c r="AL15" s="101"/>
      <c r="AM15" s="101"/>
    </row>
    <row r="16" spans="1:44" s="99" customFormat="1" ht="28.5" customHeight="1" x14ac:dyDescent="0.3">
      <c r="A16" s="100"/>
      <c r="B16" s="171">
        <v>6</v>
      </c>
      <c r="C16" s="161" t="s">
        <v>541</v>
      </c>
      <c r="D16" s="191" t="s">
        <v>155</v>
      </c>
      <c r="E16" s="211"/>
      <c r="F16" s="191">
        <v>15</v>
      </c>
      <c r="G16" s="204">
        <v>326.93</v>
      </c>
      <c r="H16" s="205">
        <f t="shared" si="12"/>
        <v>4903.95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5">
        <f t="shared" si="0"/>
        <v>4903.95</v>
      </c>
      <c r="P16" s="207"/>
      <c r="Q16" s="205">
        <f t="shared" si="1"/>
        <v>0</v>
      </c>
      <c r="R16" s="205">
        <f t="shared" si="2"/>
        <v>4903.95</v>
      </c>
      <c r="S16" s="205">
        <f t="shared" si="3"/>
        <v>4744.0600000000004</v>
      </c>
      <c r="T16" s="205">
        <f t="shared" si="4"/>
        <v>159.88999999999942</v>
      </c>
      <c r="U16" s="208">
        <f t="shared" si="5"/>
        <v>0.16</v>
      </c>
      <c r="V16" s="205">
        <f t="shared" ref="V16:V21" si="16">T16*U16</f>
        <v>25.582399999999907</v>
      </c>
      <c r="W16" s="205">
        <f t="shared" si="6"/>
        <v>381</v>
      </c>
      <c r="X16" s="205">
        <f t="shared" si="7"/>
        <v>406.58239999999989</v>
      </c>
      <c r="Y16" s="205">
        <f t="shared" si="8"/>
        <v>0</v>
      </c>
      <c r="Z16" s="205">
        <f t="shared" ref="Z16:Z26" si="17">ROUND(X16-Y16,2)</f>
        <v>406.58</v>
      </c>
      <c r="AA16" s="209"/>
      <c r="AB16" s="205">
        <f t="shared" si="9"/>
        <v>0</v>
      </c>
      <c r="AC16" s="205">
        <f t="shared" si="10"/>
        <v>406.58</v>
      </c>
      <c r="AD16" s="205">
        <v>0</v>
      </c>
      <c r="AE16" s="206">
        <v>0</v>
      </c>
      <c r="AF16" s="206">
        <v>0</v>
      </c>
      <c r="AG16" s="206">
        <v>0</v>
      </c>
      <c r="AH16" s="205">
        <f t="shared" si="11"/>
        <v>406.58</v>
      </c>
      <c r="AI16" s="205">
        <f t="shared" si="15"/>
        <v>4497.37</v>
      </c>
      <c r="AJ16" s="205"/>
      <c r="AK16" s="210"/>
      <c r="AL16" s="101"/>
      <c r="AM16" s="101"/>
    </row>
    <row r="17" spans="1:39" ht="28.5" customHeight="1" x14ac:dyDescent="0.25">
      <c r="B17" s="171">
        <v>7</v>
      </c>
      <c r="C17" s="161" t="s">
        <v>552</v>
      </c>
      <c r="D17" s="191" t="s">
        <v>155</v>
      </c>
      <c r="E17" s="176"/>
      <c r="F17" s="191">
        <v>15</v>
      </c>
      <c r="G17" s="204">
        <v>326.93</v>
      </c>
      <c r="H17" s="205">
        <f t="shared" si="12"/>
        <v>4903.95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5">
        <f t="shared" si="0"/>
        <v>4903.95</v>
      </c>
      <c r="P17" s="207"/>
      <c r="Q17" s="205">
        <f t="shared" si="1"/>
        <v>0</v>
      </c>
      <c r="R17" s="205">
        <f t="shared" si="2"/>
        <v>4903.95</v>
      </c>
      <c r="S17" s="205">
        <f t="shared" si="3"/>
        <v>4744.0600000000004</v>
      </c>
      <c r="T17" s="205">
        <f t="shared" si="4"/>
        <v>159.88999999999942</v>
      </c>
      <c r="U17" s="208">
        <f t="shared" si="5"/>
        <v>0.16</v>
      </c>
      <c r="V17" s="205">
        <f t="shared" si="16"/>
        <v>25.582399999999907</v>
      </c>
      <c r="W17" s="205">
        <f t="shared" si="6"/>
        <v>381</v>
      </c>
      <c r="X17" s="205">
        <f t="shared" si="7"/>
        <v>406.58239999999989</v>
      </c>
      <c r="Y17" s="205">
        <f t="shared" si="8"/>
        <v>0</v>
      </c>
      <c r="Z17" s="205">
        <f t="shared" si="17"/>
        <v>406.58</v>
      </c>
      <c r="AA17" s="209"/>
      <c r="AB17" s="205">
        <f t="shared" si="9"/>
        <v>0</v>
      </c>
      <c r="AC17" s="205">
        <f t="shared" si="10"/>
        <v>406.58</v>
      </c>
      <c r="AD17" s="205">
        <v>0</v>
      </c>
      <c r="AE17" s="206">
        <v>0</v>
      </c>
      <c r="AF17" s="206">
        <v>0</v>
      </c>
      <c r="AG17" s="206">
        <v>0</v>
      </c>
      <c r="AH17" s="205">
        <f t="shared" si="11"/>
        <v>406.58</v>
      </c>
      <c r="AI17" s="205">
        <f t="shared" si="15"/>
        <v>4497.37</v>
      </c>
      <c r="AJ17" s="205"/>
      <c r="AK17" s="203"/>
    </row>
    <row r="18" spans="1:39" ht="28.5" customHeight="1" x14ac:dyDescent="0.25">
      <c r="B18" s="171">
        <v>8</v>
      </c>
      <c r="C18" s="161" t="s">
        <v>537</v>
      </c>
      <c r="D18" s="191" t="s">
        <v>155</v>
      </c>
      <c r="E18" s="176"/>
      <c r="F18" s="191">
        <v>15</v>
      </c>
      <c r="G18" s="204">
        <v>326.93</v>
      </c>
      <c r="H18" s="205">
        <f t="shared" si="12"/>
        <v>4903.95</v>
      </c>
      <c r="I18" s="206">
        <v>0</v>
      </c>
      <c r="J18" s="206">
        <v>0</v>
      </c>
      <c r="K18" s="206">
        <v>0</v>
      </c>
      <c r="L18" s="206">
        <v>0</v>
      </c>
      <c r="M18" s="206">
        <v>0</v>
      </c>
      <c r="N18" s="206">
        <v>0</v>
      </c>
      <c r="O18" s="205">
        <f t="shared" si="0"/>
        <v>4903.95</v>
      </c>
      <c r="P18" s="207"/>
      <c r="Q18" s="205">
        <f t="shared" si="1"/>
        <v>0</v>
      </c>
      <c r="R18" s="205">
        <f t="shared" si="2"/>
        <v>4903.95</v>
      </c>
      <c r="S18" s="205">
        <f t="shared" si="3"/>
        <v>4744.0600000000004</v>
      </c>
      <c r="T18" s="205">
        <f t="shared" si="4"/>
        <v>159.88999999999942</v>
      </c>
      <c r="U18" s="208">
        <f t="shared" si="5"/>
        <v>0.16</v>
      </c>
      <c r="V18" s="205">
        <f t="shared" si="16"/>
        <v>25.582399999999907</v>
      </c>
      <c r="W18" s="205">
        <f t="shared" si="6"/>
        <v>381</v>
      </c>
      <c r="X18" s="205">
        <f t="shared" si="7"/>
        <v>406.58239999999989</v>
      </c>
      <c r="Y18" s="205">
        <f t="shared" si="8"/>
        <v>0</v>
      </c>
      <c r="Z18" s="205">
        <f t="shared" si="17"/>
        <v>406.58</v>
      </c>
      <c r="AA18" s="209"/>
      <c r="AB18" s="205">
        <f t="shared" si="9"/>
        <v>0</v>
      </c>
      <c r="AC18" s="205">
        <f t="shared" si="10"/>
        <v>406.58</v>
      </c>
      <c r="AD18" s="205">
        <v>0</v>
      </c>
      <c r="AE18" s="206">
        <v>0</v>
      </c>
      <c r="AF18" s="206">
        <v>0</v>
      </c>
      <c r="AG18" s="206">
        <v>0</v>
      </c>
      <c r="AH18" s="205">
        <f t="shared" si="11"/>
        <v>406.58</v>
      </c>
      <c r="AI18" s="205">
        <f t="shared" si="15"/>
        <v>4497.37</v>
      </c>
      <c r="AJ18" s="205"/>
      <c r="AK18" s="203"/>
    </row>
    <row r="19" spans="1:39" ht="28.5" customHeight="1" x14ac:dyDescent="0.25">
      <c r="B19" s="171">
        <v>9</v>
      </c>
      <c r="C19" s="161" t="s">
        <v>535</v>
      </c>
      <c r="D19" s="191" t="s">
        <v>155</v>
      </c>
      <c r="E19" s="176"/>
      <c r="F19" s="191">
        <v>15</v>
      </c>
      <c r="G19" s="204">
        <v>326.93</v>
      </c>
      <c r="H19" s="205">
        <f t="shared" si="12"/>
        <v>4903.95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6">
        <v>0</v>
      </c>
      <c r="O19" s="205">
        <f t="shared" si="0"/>
        <v>4903.95</v>
      </c>
      <c r="P19" s="207"/>
      <c r="Q19" s="205">
        <f t="shared" si="1"/>
        <v>0</v>
      </c>
      <c r="R19" s="205">
        <f t="shared" si="2"/>
        <v>4903.95</v>
      </c>
      <c r="S19" s="205">
        <f t="shared" si="3"/>
        <v>4744.0600000000004</v>
      </c>
      <c r="T19" s="205">
        <f t="shared" si="4"/>
        <v>159.88999999999942</v>
      </c>
      <c r="U19" s="208">
        <f t="shared" si="5"/>
        <v>0.16</v>
      </c>
      <c r="V19" s="205">
        <f t="shared" si="16"/>
        <v>25.582399999999907</v>
      </c>
      <c r="W19" s="205">
        <f t="shared" si="6"/>
        <v>381</v>
      </c>
      <c r="X19" s="205">
        <f t="shared" si="7"/>
        <v>406.58239999999989</v>
      </c>
      <c r="Y19" s="205">
        <f t="shared" si="8"/>
        <v>0</v>
      </c>
      <c r="Z19" s="205">
        <f t="shared" si="17"/>
        <v>406.58</v>
      </c>
      <c r="AA19" s="209"/>
      <c r="AB19" s="205">
        <f t="shared" si="9"/>
        <v>0</v>
      </c>
      <c r="AC19" s="205">
        <f t="shared" si="10"/>
        <v>406.58</v>
      </c>
      <c r="AD19" s="205">
        <v>0</v>
      </c>
      <c r="AE19" s="206">
        <v>0</v>
      </c>
      <c r="AF19" s="206">
        <v>0</v>
      </c>
      <c r="AG19" s="206">
        <v>0</v>
      </c>
      <c r="AH19" s="205">
        <f t="shared" si="11"/>
        <v>406.58</v>
      </c>
      <c r="AI19" s="205">
        <f t="shared" si="15"/>
        <v>4497.37</v>
      </c>
      <c r="AJ19" s="205"/>
      <c r="AK19" s="203"/>
    </row>
    <row r="20" spans="1:39" ht="28.5" customHeight="1" x14ac:dyDescent="0.25">
      <c r="B20" s="171">
        <v>10</v>
      </c>
      <c r="C20" s="161" t="s">
        <v>551</v>
      </c>
      <c r="D20" s="191" t="s">
        <v>155</v>
      </c>
      <c r="E20" s="211"/>
      <c r="F20" s="191">
        <v>15</v>
      </c>
      <c r="G20" s="204">
        <v>326.93</v>
      </c>
      <c r="H20" s="205">
        <f t="shared" si="12"/>
        <v>4903.95</v>
      </c>
      <c r="I20" s="206">
        <v>0</v>
      </c>
      <c r="J20" s="206">
        <v>0</v>
      </c>
      <c r="K20" s="206">
        <v>0</v>
      </c>
      <c r="L20" s="206">
        <v>0</v>
      </c>
      <c r="M20" s="206">
        <v>0</v>
      </c>
      <c r="N20" s="206">
        <v>0</v>
      </c>
      <c r="O20" s="205">
        <f t="shared" si="0"/>
        <v>4903.95</v>
      </c>
      <c r="P20" s="207"/>
      <c r="Q20" s="205">
        <f t="shared" si="1"/>
        <v>0</v>
      </c>
      <c r="R20" s="205">
        <f t="shared" si="2"/>
        <v>4903.95</v>
      </c>
      <c r="S20" s="205">
        <f t="shared" si="3"/>
        <v>4744.0600000000004</v>
      </c>
      <c r="T20" s="205">
        <f t="shared" si="4"/>
        <v>159.88999999999942</v>
      </c>
      <c r="U20" s="208">
        <f t="shared" si="5"/>
        <v>0.16</v>
      </c>
      <c r="V20" s="205">
        <f t="shared" si="16"/>
        <v>25.582399999999907</v>
      </c>
      <c r="W20" s="205">
        <f t="shared" si="6"/>
        <v>381</v>
      </c>
      <c r="X20" s="205">
        <f t="shared" si="7"/>
        <v>406.58239999999989</v>
      </c>
      <c r="Y20" s="205">
        <f t="shared" si="8"/>
        <v>0</v>
      </c>
      <c r="Z20" s="205">
        <f t="shared" si="17"/>
        <v>406.58</v>
      </c>
      <c r="AA20" s="209"/>
      <c r="AB20" s="205">
        <f t="shared" si="9"/>
        <v>0</v>
      </c>
      <c r="AC20" s="205">
        <f t="shared" si="10"/>
        <v>406.58</v>
      </c>
      <c r="AD20" s="205">
        <v>0</v>
      </c>
      <c r="AE20" s="206">
        <v>0</v>
      </c>
      <c r="AF20" s="206">
        <v>0</v>
      </c>
      <c r="AG20" s="206">
        <v>0</v>
      </c>
      <c r="AH20" s="205">
        <f t="shared" si="11"/>
        <v>406.58</v>
      </c>
      <c r="AI20" s="205">
        <f t="shared" si="15"/>
        <v>4497.37</v>
      </c>
      <c r="AJ20" s="205"/>
      <c r="AK20" s="203"/>
    </row>
    <row r="21" spans="1:39" ht="28.5" customHeight="1" x14ac:dyDescent="0.25">
      <c r="B21" s="171">
        <v>11</v>
      </c>
      <c r="C21" s="161" t="s">
        <v>549</v>
      </c>
      <c r="D21" s="191" t="s">
        <v>155</v>
      </c>
      <c r="E21" s="176"/>
      <c r="F21" s="191">
        <v>15</v>
      </c>
      <c r="G21" s="204">
        <v>326.93</v>
      </c>
      <c r="H21" s="205">
        <f t="shared" si="12"/>
        <v>4903.95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5">
        <f t="shared" si="0"/>
        <v>4903.95</v>
      </c>
      <c r="P21" s="207"/>
      <c r="Q21" s="205">
        <f t="shared" si="1"/>
        <v>0</v>
      </c>
      <c r="R21" s="205">
        <f t="shared" si="2"/>
        <v>4903.95</v>
      </c>
      <c r="S21" s="205">
        <f t="shared" si="3"/>
        <v>4744.0600000000004</v>
      </c>
      <c r="T21" s="205">
        <f t="shared" si="4"/>
        <v>159.88999999999942</v>
      </c>
      <c r="U21" s="208">
        <f t="shared" si="5"/>
        <v>0.16</v>
      </c>
      <c r="V21" s="205">
        <f t="shared" si="16"/>
        <v>25.582399999999907</v>
      </c>
      <c r="W21" s="205">
        <f t="shared" si="6"/>
        <v>381</v>
      </c>
      <c r="X21" s="205">
        <f t="shared" si="7"/>
        <v>406.58239999999989</v>
      </c>
      <c r="Y21" s="205">
        <f t="shared" si="8"/>
        <v>0</v>
      </c>
      <c r="Z21" s="205">
        <f t="shared" si="17"/>
        <v>406.58</v>
      </c>
      <c r="AA21" s="209"/>
      <c r="AB21" s="205">
        <f t="shared" si="9"/>
        <v>0</v>
      </c>
      <c r="AC21" s="205">
        <f t="shared" si="10"/>
        <v>406.58</v>
      </c>
      <c r="AD21" s="205">
        <v>0</v>
      </c>
      <c r="AE21" s="206">
        <v>0</v>
      </c>
      <c r="AF21" s="206">
        <v>0</v>
      </c>
      <c r="AG21" s="206">
        <v>0</v>
      </c>
      <c r="AH21" s="205">
        <f t="shared" si="11"/>
        <v>406.58</v>
      </c>
      <c r="AI21" s="205">
        <f t="shared" si="15"/>
        <v>4497.37</v>
      </c>
      <c r="AJ21" s="205"/>
      <c r="AK21" s="203"/>
    </row>
    <row r="22" spans="1:39" s="103" customFormat="1" ht="28.5" customHeight="1" x14ac:dyDescent="0.25">
      <c r="B22" s="171">
        <v>12</v>
      </c>
      <c r="C22" s="161" t="s">
        <v>553</v>
      </c>
      <c r="D22" s="191" t="s">
        <v>155</v>
      </c>
      <c r="E22" s="176"/>
      <c r="F22" s="191">
        <v>15</v>
      </c>
      <c r="G22" s="204">
        <v>326.93</v>
      </c>
      <c r="H22" s="205">
        <f t="shared" si="12"/>
        <v>4903.95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5">
        <f t="shared" ref="O22:O39" si="18">SUM(H22:N22)</f>
        <v>4903.95</v>
      </c>
      <c r="P22" s="207"/>
      <c r="Q22" s="205">
        <f t="shared" ref="Q22:Q39" si="19">IF(G22=47.16,0,IF(G22&gt;47.16,L22*0.5,0))</f>
        <v>0</v>
      </c>
      <c r="R22" s="205">
        <f t="shared" ref="R22:R39" si="20">H22+I22+J22+M22+Q22+K22</f>
        <v>4903.95</v>
      </c>
      <c r="S22" s="205">
        <f t="shared" ref="S22:S39" si="21">VLOOKUP(R22,TARIFA1,1)</f>
        <v>4744.0600000000004</v>
      </c>
      <c r="T22" s="205">
        <f t="shared" ref="T22:T37" si="22">R22-S22</f>
        <v>159.88999999999942</v>
      </c>
      <c r="U22" s="208">
        <f t="shared" ref="U22:U39" si="23">VLOOKUP(R22,TARIFA1,3)</f>
        <v>0.16</v>
      </c>
      <c r="V22" s="205">
        <f t="shared" ref="V22:V39" si="24">T22*U22</f>
        <v>25.582399999999907</v>
      </c>
      <c r="W22" s="205">
        <f t="shared" ref="W22:W39" si="25">VLOOKUP(R22,TARIFA1,2)</f>
        <v>381</v>
      </c>
      <c r="X22" s="205">
        <f t="shared" ref="X22:X39" si="26">V22+W22</f>
        <v>406.58239999999989</v>
      </c>
      <c r="Y22" s="205">
        <f t="shared" ref="Y22:Y39" si="27">VLOOKUP(R22,Credito1,2)</f>
        <v>0</v>
      </c>
      <c r="Z22" s="205">
        <f t="shared" si="17"/>
        <v>406.58</v>
      </c>
      <c r="AA22" s="209"/>
      <c r="AB22" s="205">
        <v>0</v>
      </c>
      <c r="AC22" s="205">
        <f t="shared" ref="AC22:AC39" si="28">IF(Z22&lt;0,0,Z22)</f>
        <v>406.58</v>
      </c>
      <c r="AD22" s="205">
        <v>0</v>
      </c>
      <c r="AE22" s="206">
        <v>0</v>
      </c>
      <c r="AF22" s="206">
        <v>0</v>
      </c>
      <c r="AG22" s="206">
        <v>0</v>
      </c>
      <c r="AH22" s="205">
        <f t="shared" ref="AH22:AH39" si="29">SUM(AC22:AG22)</f>
        <v>406.58</v>
      </c>
      <c r="AI22" s="205">
        <f t="shared" si="15"/>
        <v>4497.37</v>
      </c>
      <c r="AJ22" s="205"/>
      <c r="AK22" s="203"/>
    </row>
    <row r="23" spans="1:39" ht="28.5" customHeight="1" x14ac:dyDescent="0.25">
      <c r="B23" s="171">
        <v>13</v>
      </c>
      <c r="C23" s="161" t="s">
        <v>548</v>
      </c>
      <c r="D23" s="191" t="s">
        <v>155</v>
      </c>
      <c r="E23" s="176"/>
      <c r="F23" s="191">
        <v>15</v>
      </c>
      <c r="G23" s="204">
        <v>326.93</v>
      </c>
      <c r="H23" s="205">
        <f t="shared" si="12"/>
        <v>4903.95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05">
        <f t="shared" si="18"/>
        <v>4903.95</v>
      </c>
      <c r="P23" s="207"/>
      <c r="Q23" s="205">
        <f t="shared" si="19"/>
        <v>0</v>
      </c>
      <c r="R23" s="205">
        <f t="shared" si="20"/>
        <v>4903.95</v>
      </c>
      <c r="S23" s="205">
        <f t="shared" si="21"/>
        <v>4744.0600000000004</v>
      </c>
      <c r="T23" s="205">
        <f t="shared" si="22"/>
        <v>159.88999999999942</v>
      </c>
      <c r="U23" s="208">
        <f t="shared" si="23"/>
        <v>0.16</v>
      </c>
      <c r="V23" s="205">
        <f t="shared" si="24"/>
        <v>25.582399999999907</v>
      </c>
      <c r="W23" s="205">
        <f t="shared" si="25"/>
        <v>381</v>
      </c>
      <c r="X23" s="205">
        <f t="shared" si="26"/>
        <v>406.58239999999989</v>
      </c>
      <c r="Y23" s="205">
        <f t="shared" si="27"/>
        <v>0</v>
      </c>
      <c r="Z23" s="205">
        <f t="shared" si="17"/>
        <v>406.58</v>
      </c>
      <c r="AA23" s="209"/>
      <c r="AB23" s="205">
        <v>0</v>
      </c>
      <c r="AC23" s="205">
        <f t="shared" si="28"/>
        <v>406.58</v>
      </c>
      <c r="AD23" s="205">
        <v>0</v>
      </c>
      <c r="AE23" s="206">
        <v>0</v>
      </c>
      <c r="AF23" s="206">
        <v>0</v>
      </c>
      <c r="AG23" s="206">
        <v>0</v>
      </c>
      <c r="AH23" s="205">
        <f t="shared" si="29"/>
        <v>406.58</v>
      </c>
      <c r="AI23" s="205">
        <f t="shared" si="15"/>
        <v>4497.37</v>
      </c>
      <c r="AJ23" s="205"/>
      <c r="AK23" s="203"/>
    </row>
    <row r="24" spans="1:39" ht="28.5" customHeight="1" x14ac:dyDescent="0.25">
      <c r="A24" s="103" t="s">
        <v>102</v>
      </c>
      <c r="B24" s="171">
        <v>14</v>
      </c>
      <c r="C24" s="161" t="s">
        <v>550</v>
      </c>
      <c r="D24" s="191" t="s">
        <v>155</v>
      </c>
      <c r="E24" s="176"/>
      <c r="F24" s="191">
        <v>15</v>
      </c>
      <c r="G24" s="204">
        <v>326.93</v>
      </c>
      <c r="H24" s="205">
        <f t="shared" si="12"/>
        <v>4903.95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206">
        <v>0</v>
      </c>
      <c r="O24" s="205">
        <f t="shared" si="18"/>
        <v>4903.95</v>
      </c>
      <c r="P24" s="207"/>
      <c r="Q24" s="205">
        <f t="shared" si="19"/>
        <v>0</v>
      </c>
      <c r="R24" s="205">
        <f t="shared" si="20"/>
        <v>4903.95</v>
      </c>
      <c r="S24" s="205">
        <f t="shared" si="21"/>
        <v>4744.0600000000004</v>
      </c>
      <c r="T24" s="205">
        <f t="shared" si="22"/>
        <v>159.88999999999942</v>
      </c>
      <c r="U24" s="208">
        <f t="shared" si="23"/>
        <v>0.16</v>
      </c>
      <c r="V24" s="205">
        <f t="shared" si="24"/>
        <v>25.582399999999907</v>
      </c>
      <c r="W24" s="205">
        <f t="shared" si="25"/>
        <v>381</v>
      </c>
      <c r="X24" s="205">
        <f t="shared" si="26"/>
        <v>406.58239999999989</v>
      </c>
      <c r="Y24" s="205">
        <f t="shared" si="27"/>
        <v>0</v>
      </c>
      <c r="Z24" s="205">
        <f t="shared" si="17"/>
        <v>406.58</v>
      </c>
      <c r="AA24" s="209"/>
      <c r="AB24" s="205">
        <f t="shared" ref="AB24:AB35" si="30">IF(Y24&lt;0,0,Y24)</f>
        <v>0</v>
      </c>
      <c r="AC24" s="205">
        <f t="shared" si="28"/>
        <v>406.58</v>
      </c>
      <c r="AD24" s="205">
        <v>0</v>
      </c>
      <c r="AE24" s="206">
        <v>0</v>
      </c>
      <c r="AF24" s="206">
        <v>0</v>
      </c>
      <c r="AG24" s="206">
        <v>0</v>
      </c>
      <c r="AH24" s="205">
        <f t="shared" si="29"/>
        <v>406.58</v>
      </c>
      <c r="AI24" s="205">
        <f t="shared" si="15"/>
        <v>4497.37</v>
      </c>
      <c r="AJ24" s="205"/>
      <c r="AK24" s="203"/>
    </row>
    <row r="25" spans="1:39" s="365" customFormat="1" ht="28.5" customHeight="1" x14ac:dyDescent="0.25">
      <c r="A25" s="365" t="s">
        <v>102</v>
      </c>
      <c r="B25" s="366">
        <v>15</v>
      </c>
      <c r="C25" s="367" t="s">
        <v>220</v>
      </c>
      <c r="D25" s="368" t="s">
        <v>155</v>
      </c>
      <c r="E25" s="369"/>
      <c r="F25" s="368">
        <v>8</v>
      </c>
      <c r="G25" s="370">
        <v>326.93</v>
      </c>
      <c r="H25" s="371">
        <f t="shared" si="12"/>
        <v>2615.44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372">
        <v>0</v>
      </c>
      <c r="O25" s="371">
        <f t="shared" si="18"/>
        <v>2615.44</v>
      </c>
      <c r="P25" s="373"/>
      <c r="Q25" s="371">
        <f t="shared" si="19"/>
        <v>0</v>
      </c>
      <c r="R25" s="371">
        <f t="shared" si="20"/>
        <v>2615.44</v>
      </c>
      <c r="S25" s="371">
        <f t="shared" si="21"/>
        <v>318.01</v>
      </c>
      <c r="T25" s="371">
        <f t="shared" si="22"/>
        <v>2297.4300000000003</v>
      </c>
      <c r="U25" s="374">
        <f t="shared" si="23"/>
        <v>6.4000000000000001E-2</v>
      </c>
      <c r="V25" s="371">
        <f t="shared" si="24"/>
        <v>147.03552000000002</v>
      </c>
      <c r="W25" s="371">
        <f t="shared" si="25"/>
        <v>6.15</v>
      </c>
      <c r="X25" s="371">
        <f t="shared" si="26"/>
        <v>153.18552000000003</v>
      </c>
      <c r="Y25" s="371">
        <f t="shared" si="27"/>
        <v>160.35</v>
      </c>
      <c r="Z25" s="371">
        <f t="shared" si="17"/>
        <v>-7.16</v>
      </c>
      <c r="AA25" s="375"/>
      <c r="AB25" s="371">
        <f t="shared" si="30"/>
        <v>160.35</v>
      </c>
      <c r="AC25" s="371">
        <f t="shared" si="28"/>
        <v>0</v>
      </c>
      <c r="AD25" s="371">
        <v>0</v>
      </c>
      <c r="AE25" s="372">
        <v>0</v>
      </c>
      <c r="AF25" s="372">
        <v>0</v>
      </c>
      <c r="AG25" s="372">
        <v>0</v>
      </c>
      <c r="AH25" s="371">
        <f t="shared" si="29"/>
        <v>0</v>
      </c>
      <c r="AI25" s="371">
        <f t="shared" si="15"/>
        <v>2775.79</v>
      </c>
      <c r="AJ25" s="371"/>
      <c r="AK25" s="379"/>
    </row>
    <row r="26" spans="1:39" s="99" customFormat="1" ht="28.5" customHeight="1" x14ac:dyDescent="0.3">
      <c r="A26" s="100"/>
      <c r="B26" s="171">
        <v>16</v>
      </c>
      <c r="C26" s="161" t="s">
        <v>547</v>
      </c>
      <c r="D26" s="191" t="s">
        <v>155</v>
      </c>
      <c r="E26" s="176"/>
      <c r="F26" s="191">
        <v>15</v>
      </c>
      <c r="G26" s="204">
        <v>326.93</v>
      </c>
      <c r="H26" s="205">
        <f t="shared" si="12"/>
        <v>4903.95</v>
      </c>
      <c r="I26" s="206">
        <v>0</v>
      </c>
      <c r="J26" s="206">
        <v>0</v>
      </c>
      <c r="K26" s="206">
        <v>0</v>
      </c>
      <c r="L26" s="206">
        <v>0</v>
      </c>
      <c r="M26" s="206">
        <v>0</v>
      </c>
      <c r="N26" s="206">
        <v>0</v>
      </c>
      <c r="O26" s="205">
        <f t="shared" si="18"/>
        <v>4903.95</v>
      </c>
      <c r="P26" s="207"/>
      <c r="Q26" s="205">
        <f t="shared" si="19"/>
        <v>0</v>
      </c>
      <c r="R26" s="205">
        <f t="shared" si="20"/>
        <v>4903.95</v>
      </c>
      <c r="S26" s="205">
        <f t="shared" si="21"/>
        <v>4744.0600000000004</v>
      </c>
      <c r="T26" s="205">
        <f t="shared" si="22"/>
        <v>159.88999999999942</v>
      </c>
      <c r="U26" s="208">
        <f t="shared" si="23"/>
        <v>0.16</v>
      </c>
      <c r="V26" s="205">
        <f t="shared" si="24"/>
        <v>25.582399999999907</v>
      </c>
      <c r="W26" s="205">
        <f t="shared" si="25"/>
        <v>381</v>
      </c>
      <c r="X26" s="205">
        <f t="shared" si="26"/>
        <v>406.58239999999989</v>
      </c>
      <c r="Y26" s="205">
        <f t="shared" si="27"/>
        <v>0</v>
      </c>
      <c r="Z26" s="205">
        <f t="shared" si="17"/>
        <v>406.58</v>
      </c>
      <c r="AA26" s="209"/>
      <c r="AB26" s="205">
        <f t="shared" si="30"/>
        <v>0</v>
      </c>
      <c r="AC26" s="205">
        <f t="shared" si="28"/>
        <v>406.58</v>
      </c>
      <c r="AD26" s="205">
        <v>0</v>
      </c>
      <c r="AE26" s="206">
        <v>0</v>
      </c>
      <c r="AF26" s="206">
        <v>0</v>
      </c>
      <c r="AG26" s="206">
        <v>0</v>
      </c>
      <c r="AH26" s="205">
        <f t="shared" si="29"/>
        <v>406.58</v>
      </c>
      <c r="AI26" s="205">
        <f t="shared" si="15"/>
        <v>4497.37</v>
      </c>
      <c r="AJ26" s="205"/>
      <c r="AK26" s="210"/>
      <c r="AL26" s="101"/>
      <c r="AM26" s="101"/>
    </row>
    <row r="27" spans="1:39" s="105" customFormat="1" ht="28.5" customHeight="1" x14ac:dyDescent="0.3">
      <c r="A27" s="103"/>
      <c r="B27" s="171">
        <v>17</v>
      </c>
      <c r="C27" s="161" t="s">
        <v>532</v>
      </c>
      <c r="D27" s="191" t="s">
        <v>155</v>
      </c>
      <c r="E27" s="176"/>
      <c r="F27" s="191">
        <v>15</v>
      </c>
      <c r="G27" s="204">
        <v>326.93</v>
      </c>
      <c r="H27" s="205">
        <f t="shared" si="12"/>
        <v>4903.95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5">
        <f t="shared" si="18"/>
        <v>4903.95</v>
      </c>
      <c r="P27" s="207"/>
      <c r="Q27" s="205">
        <f t="shared" si="19"/>
        <v>0</v>
      </c>
      <c r="R27" s="205">
        <f t="shared" si="20"/>
        <v>4903.95</v>
      </c>
      <c r="S27" s="205">
        <f t="shared" si="21"/>
        <v>4744.0600000000004</v>
      </c>
      <c r="T27" s="205">
        <f t="shared" si="22"/>
        <v>159.88999999999942</v>
      </c>
      <c r="U27" s="208">
        <f t="shared" si="23"/>
        <v>0.16</v>
      </c>
      <c r="V27" s="205">
        <f t="shared" si="24"/>
        <v>25.582399999999907</v>
      </c>
      <c r="W27" s="205">
        <f t="shared" si="25"/>
        <v>381</v>
      </c>
      <c r="X27" s="205">
        <f t="shared" si="26"/>
        <v>406.58239999999989</v>
      </c>
      <c r="Y27" s="205">
        <f t="shared" si="27"/>
        <v>0</v>
      </c>
      <c r="Z27" s="205">
        <f t="shared" ref="Z27:Z39" si="31">ROUND(X27-Y27,2)</f>
        <v>406.58</v>
      </c>
      <c r="AA27" s="209"/>
      <c r="AB27" s="205">
        <f t="shared" si="30"/>
        <v>0</v>
      </c>
      <c r="AC27" s="205">
        <f t="shared" si="28"/>
        <v>406.58</v>
      </c>
      <c r="AD27" s="205">
        <v>0</v>
      </c>
      <c r="AE27" s="206">
        <v>0</v>
      </c>
      <c r="AF27" s="206">
        <v>0</v>
      </c>
      <c r="AG27" s="206">
        <v>0</v>
      </c>
      <c r="AH27" s="205">
        <f t="shared" si="29"/>
        <v>406.58</v>
      </c>
      <c r="AI27" s="205">
        <f t="shared" si="15"/>
        <v>4497.37</v>
      </c>
      <c r="AJ27" s="205"/>
      <c r="AK27" s="210"/>
      <c r="AL27" s="104"/>
      <c r="AM27" s="104"/>
    </row>
    <row r="28" spans="1:39" s="99" customFormat="1" ht="28.5" customHeight="1" x14ac:dyDescent="0.3">
      <c r="A28" s="100"/>
      <c r="B28" s="171">
        <v>18</v>
      </c>
      <c r="C28" s="161" t="s">
        <v>545</v>
      </c>
      <c r="D28" s="191" t="s">
        <v>155</v>
      </c>
      <c r="E28" s="176"/>
      <c r="F28" s="191">
        <v>15</v>
      </c>
      <c r="G28" s="204">
        <v>326.93</v>
      </c>
      <c r="H28" s="205">
        <f t="shared" si="12"/>
        <v>4903.95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5">
        <f t="shared" si="18"/>
        <v>4903.95</v>
      </c>
      <c r="P28" s="207"/>
      <c r="Q28" s="205">
        <f t="shared" si="19"/>
        <v>0</v>
      </c>
      <c r="R28" s="205">
        <f t="shared" si="20"/>
        <v>4903.95</v>
      </c>
      <c r="S28" s="205">
        <f t="shared" si="21"/>
        <v>4744.0600000000004</v>
      </c>
      <c r="T28" s="205">
        <f t="shared" si="22"/>
        <v>159.88999999999942</v>
      </c>
      <c r="U28" s="208">
        <f t="shared" si="23"/>
        <v>0.16</v>
      </c>
      <c r="V28" s="205">
        <f t="shared" si="24"/>
        <v>25.582399999999907</v>
      </c>
      <c r="W28" s="205">
        <f t="shared" si="25"/>
        <v>381</v>
      </c>
      <c r="X28" s="205">
        <f t="shared" si="26"/>
        <v>406.58239999999989</v>
      </c>
      <c r="Y28" s="205">
        <f t="shared" si="27"/>
        <v>0</v>
      </c>
      <c r="Z28" s="205">
        <f t="shared" si="31"/>
        <v>406.58</v>
      </c>
      <c r="AA28" s="209"/>
      <c r="AB28" s="205">
        <f t="shared" si="30"/>
        <v>0</v>
      </c>
      <c r="AC28" s="205">
        <f t="shared" si="28"/>
        <v>406.58</v>
      </c>
      <c r="AD28" s="205">
        <v>0</v>
      </c>
      <c r="AE28" s="206">
        <v>0</v>
      </c>
      <c r="AF28" s="206">
        <v>0</v>
      </c>
      <c r="AG28" s="206">
        <v>0</v>
      </c>
      <c r="AH28" s="205">
        <f t="shared" si="29"/>
        <v>406.58</v>
      </c>
      <c r="AI28" s="205">
        <f t="shared" si="15"/>
        <v>4497.37</v>
      </c>
      <c r="AJ28" s="205"/>
      <c r="AK28" s="210"/>
      <c r="AL28" s="101"/>
      <c r="AM28" s="101"/>
    </row>
    <row r="29" spans="1:39" s="378" customFormat="1" ht="28.5" customHeight="1" x14ac:dyDescent="0.3">
      <c r="A29" s="365"/>
      <c r="B29" s="366">
        <v>19</v>
      </c>
      <c r="C29" s="367" t="s">
        <v>302</v>
      </c>
      <c r="D29" s="368" t="s">
        <v>155</v>
      </c>
      <c r="E29" s="368"/>
      <c r="F29" s="368">
        <v>8</v>
      </c>
      <c r="G29" s="370">
        <v>326.93</v>
      </c>
      <c r="H29" s="371">
        <f t="shared" si="12"/>
        <v>2615.44</v>
      </c>
      <c r="I29" s="372">
        <v>0</v>
      </c>
      <c r="J29" s="372">
        <v>0</v>
      </c>
      <c r="K29" s="372">
        <v>0</v>
      </c>
      <c r="L29" s="372">
        <v>0</v>
      </c>
      <c r="M29" s="372">
        <v>0</v>
      </c>
      <c r="N29" s="372">
        <v>0</v>
      </c>
      <c r="O29" s="371">
        <f t="shared" si="18"/>
        <v>2615.44</v>
      </c>
      <c r="P29" s="373"/>
      <c r="Q29" s="371">
        <f t="shared" si="19"/>
        <v>0</v>
      </c>
      <c r="R29" s="371">
        <f t="shared" si="20"/>
        <v>2615.44</v>
      </c>
      <c r="S29" s="371">
        <f t="shared" si="21"/>
        <v>318.01</v>
      </c>
      <c r="T29" s="371">
        <f t="shared" si="22"/>
        <v>2297.4300000000003</v>
      </c>
      <c r="U29" s="374">
        <f t="shared" si="23"/>
        <v>6.4000000000000001E-2</v>
      </c>
      <c r="V29" s="371">
        <f t="shared" si="24"/>
        <v>147.03552000000002</v>
      </c>
      <c r="W29" s="371">
        <f t="shared" si="25"/>
        <v>6.15</v>
      </c>
      <c r="X29" s="371">
        <f t="shared" si="26"/>
        <v>153.18552000000003</v>
      </c>
      <c r="Y29" s="371">
        <f t="shared" si="27"/>
        <v>160.35</v>
      </c>
      <c r="Z29" s="371">
        <f t="shared" si="31"/>
        <v>-7.16</v>
      </c>
      <c r="AA29" s="375"/>
      <c r="AB29" s="371">
        <f t="shared" si="30"/>
        <v>160.35</v>
      </c>
      <c r="AC29" s="371">
        <f t="shared" si="28"/>
        <v>0</v>
      </c>
      <c r="AD29" s="371">
        <v>0</v>
      </c>
      <c r="AE29" s="372">
        <v>0</v>
      </c>
      <c r="AF29" s="372">
        <v>0</v>
      </c>
      <c r="AG29" s="372">
        <v>0</v>
      </c>
      <c r="AH29" s="371">
        <f t="shared" si="29"/>
        <v>0</v>
      </c>
      <c r="AI29" s="371">
        <f t="shared" si="15"/>
        <v>2775.79</v>
      </c>
      <c r="AJ29" s="371"/>
      <c r="AK29" s="376"/>
      <c r="AL29" s="377"/>
      <c r="AM29" s="377"/>
    </row>
    <row r="30" spans="1:39" s="99" customFormat="1" ht="28.5" customHeight="1" x14ac:dyDescent="0.3">
      <c r="A30" s="100"/>
      <c r="B30" s="171">
        <v>20</v>
      </c>
      <c r="C30" s="161" t="s">
        <v>533</v>
      </c>
      <c r="D30" s="191" t="s">
        <v>155</v>
      </c>
      <c r="E30" s="176"/>
      <c r="F30" s="191">
        <v>15</v>
      </c>
      <c r="G30" s="204">
        <v>326.93</v>
      </c>
      <c r="H30" s="205">
        <f t="shared" si="12"/>
        <v>4903.95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6">
        <v>0</v>
      </c>
      <c r="O30" s="205">
        <f t="shared" si="18"/>
        <v>4903.95</v>
      </c>
      <c r="P30" s="207"/>
      <c r="Q30" s="205">
        <f t="shared" si="19"/>
        <v>0</v>
      </c>
      <c r="R30" s="205">
        <f t="shared" si="20"/>
        <v>4903.95</v>
      </c>
      <c r="S30" s="205">
        <f t="shared" si="21"/>
        <v>4744.0600000000004</v>
      </c>
      <c r="T30" s="205">
        <f t="shared" si="22"/>
        <v>159.88999999999942</v>
      </c>
      <c r="U30" s="208">
        <f t="shared" si="23"/>
        <v>0.16</v>
      </c>
      <c r="V30" s="205">
        <f t="shared" si="24"/>
        <v>25.582399999999907</v>
      </c>
      <c r="W30" s="205">
        <f t="shared" si="25"/>
        <v>381</v>
      </c>
      <c r="X30" s="205">
        <f t="shared" si="26"/>
        <v>406.58239999999989</v>
      </c>
      <c r="Y30" s="205">
        <f t="shared" si="27"/>
        <v>0</v>
      </c>
      <c r="Z30" s="205">
        <f t="shared" si="31"/>
        <v>406.58</v>
      </c>
      <c r="AA30" s="209"/>
      <c r="AB30" s="205">
        <f t="shared" si="30"/>
        <v>0</v>
      </c>
      <c r="AC30" s="205">
        <f t="shared" si="28"/>
        <v>406.58</v>
      </c>
      <c r="AD30" s="205">
        <v>0</v>
      </c>
      <c r="AE30" s="206">
        <v>0</v>
      </c>
      <c r="AF30" s="206">
        <v>0</v>
      </c>
      <c r="AG30" s="206">
        <v>0</v>
      </c>
      <c r="AH30" s="205">
        <f t="shared" si="29"/>
        <v>406.58</v>
      </c>
      <c r="AI30" s="205">
        <f t="shared" si="15"/>
        <v>4497.37</v>
      </c>
      <c r="AJ30" s="205"/>
      <c r="AK30" s="210"/>
      <c r="AL30" s="101"/>
      <c r="AM30" s="101"/>
    </row>
    <row r="31" spans="1:39" s="99" customFormat="1" ht="28.5" customHeight="1" x14ac:dyDescent="0.3">
      <c r="A31" s="100"/>
      <c r="B31" s="171">
        <v>21</v>
      </c>
      <c r="C31" s="161" t="s">
        <v>235</v>
      </c>
      <c r="D31" s="191" t="s">
        <v>155</v>
      </c>
      <c r="E31" s="176"/>
      <c r="F31" s="191">
        <v>15</v>
      </c>
      <c r="G31" s="204">
        <v>326.93</v>
      </c>
      <c r="H31" s="205">
        <f t="shared" si="12"/>
        <v>4903.95</v>
      </c>
      <c r="I31" s="206">
        <v>0</v>
      </c>
      <c r="J31" s="206">
        <v>0</v>
      </c>
      <c r="K31" s="206">
        <v>0</v>
      </c>
      <c r="L31" s="206">
        <v>0</v>
      </c>
      <c r="M31" s="206">
        <v>0</v>
      </c>
      <c r="N31" s="206">
        <v>0</v>
      </c>
      <c r="O31" s="205">
        <f t="shared" si="18"/>
        <v>4903.95</v>
      </c>
      <c r="P31" s="207"/>
      <c r="Q31" s="205">
        <f t="shared" si="19"/>
        <v>0</v>
      </c>
      <c r="R31" s="205">
        <f t="shared" si="20"/>
        <v>4903.95</v>
      </c>
      <c r="S31" s="205">
        <f t="shared" si="21"/>
        <v>4744.0600000000004</v>
      </c>
      <c r="T31" s="205">
        <f t="shared" si="22"/>
        <v>159.88999999999942</v>
      </c>
      <c r="U31" s="208">
        <f t="shared" si="23"/>
        <v>0.16</v>
      </c>
      <c r="V31" s="205">
        <f t="shared" si="24"/>
        <v>25.582399999999907</v>
      </c>
      <c r="W31" s="205">
        <f t="shared" si="25"/>
        <v>381</v>
      </c>
      <c r="X31" s="205">
        <f t="shared" si="26"/>
        <v>406.58239999999989</v>
      </c>
      <c r="Y31" s="205">
        <f t="shared" si="27"/>
        <v>0</v>
      </c>
      <c r="Z31" s="205">
        <f t="shared" si="31"/>
        <v>406.58</v>
      </c>
      <c r="AA31" s="209"/>
      <c r="AB31" s="205">
        <f t="shared" si="30"/>
        <v>0</v>
      </c>
      <c r="AC31" s="205">
        <f t="shared" si="28"/>
        <v>406.58</v>
      </c>
      <c r="AD31" s="205">
        <v>0</v>
      </c>
      <c r="AE31" s="206">
        <v>0</v>
      </c>
      <c r="AF31" s="206">
        <v>0</v>
      </c>
      <c r="AG31" s="206">
        <v>0</v>
      </c>
      <c r="AH31" s="205">
        <f t="shared" si="29"/>
        <v>406.58</v>
      </c>
      <c r="AI31" s="205">
        <f t="shared" si="15"/>
        <v>4497.37</v>
      </c>
      <c r="AJ31" s="205"/>
      <c r="AK31" s="210"/>
      <c r="AL31" s="101"/>
      <c r="AM31" s="101"/>
    </row>
    <row r="32" spans="1:39" s="99" customFormat="1" ht="28.5" customHeight="1" x14ac:dyDescent="0.3">
      <c r="A32" s="100"/>
      <c r="B32" s="171">
        <v>22</v>
      </c>
      <c r="C32" s="161" t="s">
        <v>536</v>
      </c>
      <c r="D32" s="191" t="s">
        <v>155</v>
      </c>
      <c r="E32" s="176"/>
      <c r="F32" s="191">
        <v>15</v>
      </c>
      <c r="G32" s="204">
        <v>326.93</v>
      </c>
      <c r="H32" s="205">
        <f t="shared" si="12"/>
        <v>4903.95</v>
      </c>
      <c r="I32" s="206">
        <v>0</v>
      </c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05">
        <f t="shared" si="18"/>
        <v>4903.95</v>
      </c>
      <c r="P32" s="207"/>
      <c r="Q32" s="205">
        <f t="shared" si="19"/>
        <v>0</v>
      </c>
      <c r="R32" s="205">
        <f t="shared" si="20"/>
        <v>4903.95</v>
      </c>
      <c r="S32" s="205">
        <f t="shared" si="21"/>
        <v>4744.0600000000004</v>
      </c>
      <c r="T32" s="205">
        <f t="shared" si="22"/>
        <v>159.88999999999942</v>
      </c>
      <c r="U32" s="208">
        <f t="shared" si="23"/>
        <v>0.16</v>
      </c>
      <c r="V32" s="205">
        <f t="shared" si="24"/>
        <v>25.582399999999907</v>
      </c>
      <c r="W32" s="205">
        <f t="shared" si="25"/>
        <v>381</v>
      </c>
      <c r="X32" s="205">
        <f t="shared" si="26"/>
        <v>406.58239999999989</v>
      </c>
      <c r="Y32" s="205">
        <f t="shared" si="27"/>
        <v>0</v>
      </c>
      <c r="Z32" s="205">
        <f t="shared" si="31"/>
        <v>406.58</v>
      </c>
      <c r="AA32" s="209"/>
      <c r="AB32" s="205">
        <f t="shared" si="30"/>
        <v>0</v>
      </c>
      <c r="AC32" s="205">
        <f t="shared" si="28"/>
        <v>406.58</v>
      </c>
      <c r="AD32" s="205">
        <v>0</v>
      </c>
      <c r="AE32" s="206">
        <v>0</v>
      </c>
      <c r="AF32" s="206">
        <v>0</v>
      </c>
      <c r="AG32" s="206">
        <v>0</v>
      </c>
      <c r="AH32" s="205">
        <f t="shared" si="29"/>
        <v>406.58</v>
      </c>
      <c r="AI32" s="205">
        <f t="shared" si="15"/>
        <v>4497.37</v>
      </c>
      <c r="AJ32" s="205"/>
      <c r="AK32" s="210"/>
      <c r="AL32" s="101"/>
      <c r="AM32" s="101"/>
    </row>
    <row r="33" spans="1:39" s="99" customFormat="1" ht="28.5" customHeight="1" x14ac:dyDescent="0.3">
      <c r="A33" s="100"/>
      <c r="B33" s="171">
        <v>23</v>
      </c>
      <c r="C33" s="161" t="s">
        <v>543</v>
      </c>
      <c r="D33" s="191" t="s">
        <v>155</v>
      </c>
      <c r="E33" s="176"/>
      <c r="F33" s="191">
        <v>15</v>
      </c>
      <c r="G33" s="204">
        <v>326.93</v>
      </c>
      <c r="H33" s="205">
        <f t="shared" si="12"/>
        <v>4903.95</v>
      </c>
      <c r="I33" s="206">
        <v>0</v>
      </c>
      <c r="J33" s="206">
        <v>0</v>
      </c>
      <c r="K33" s="206">
        <v>0</v>
      </c>
      <c r="L33" s="206">
        <v>0</v>
      </c>
      <c r="M33" s="206">
        <v>0</v>
      </c>
      <c r="N33" s="206">
        <v>0</v>
      </c>
      <c r="O33" s="205">
        <f t="shared" si="18"/>
        <v>4903.95</v>
      </c>
      <c r="P33" s="207"/>
      <c r="Q33" s="205">
        <f t="shared" si="19"/>
        <v>0</v>
      </c>
      <c r="R33" s="205">
        <f t="shared" si="20"/>
        <v>4903.95</v>
      </c>
      <c r="S33" s="205">
        <f t="shared" si="21"/>
        <v>4744.0600000000004</v>
      </c>
      <c r="T33" s="205">
        <f t="shared" si="22"/>
        <v>159.88999999999942</v>
      </c>
      <c r="U33" s="208">
        <f t="shared" si="23"/>
        <v>0.16</v>
      </c>
      <c r="V33" s="205">
        <f t="shared" si="24"/>
        <v>25.582399999999907</v>
      </c>
      <c r="W33" s="205">
        <f t="shared" si="25"/>
        <v>381</v>
      </c>
      <c r="X33" s="205">
        <f t="shared" si="26"/>
        <v>406.58239999999989</v>
      </c>
      <c r="Y33" s="205">
        <f t="shared" si="27"/>
        <v>0</v>
      </c>
      <c r="Z33" s="205">
        <f t="shared" si="31"/>
        <v>406.58</v>
      </c>
      <c r="AA33" s="209"/>
      <c r="AB33" s="205">
        <f t="shared" si="30"/>
        <v>0</v>
      </c>
      <c r="AC33" s="205">
        <f t="shared" si="28"/>
        <v>406.58</v>
      </c>
      <c r="AD33" s="205">
        <v>0</v>
      </c>
      <c r="AE33" s="206">
        <v>0</v>
      </c>
      <c r="AF33" s="206">
        <v>0</v>
      </c>
      <c r="AG33" s="206">
        <v>0</v>
      </c>
      <c r="AH33" s="205">
        <f t="shared" si="29"/>
        <v>406.58</v>
      </c>
      <c r="AI33" s="205">
        <f t="shared" si="15"/>
        <v>4497.37</v>
      </c>
      <c r="AJ33" s="205"/>
      <c r="AK33" s="210"/>
      <c r="AL33" s="101"/>
      <c r="AM33" s="101"/>
    </row>
    <row r="34" spans="1:39" s="378" customFormat="1" ht="28.5" customHeight="1" x14ac:dyDescent="0.3">
      <c r="A34" s="365"/>
      <c r="B34" s="366">
        <v>24</v>
      </c>
      <c r="C34" s="367" t="s">
        <v>303</v>
      </c>
      <c r="D34" s="368" t="s">
        <v>155</v>
      </c>
      <c r="E34" s="368"/>
      <c r="F34" s="368">
        <v>8</v>
      </c>
      <c r="G34" s="370">
        <v>326.93</v>
      </c>
      <c r="H34" s="371">
        <f t="shared" si="12"/>
        <v>2615.44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1">
        <f t="shared" si="18"/>
        <v>2615.44</v>
      </c>
      <c r="P34" s="373"/>
      <c r="Q34" s="371">
        <f t="shared" si="19"/>
        <v>0</v>
      </c>
      <c r="R34" s="371">
        <f t="shared" si="20"/>
        <v>2615.44</v>
      </c>
      <c r="S34" s="371">
        <f t="shared" si="21"/>
        <v>318.01</v>
      </c>
      <c r="T34" s="371">
        <f t="shared" si="22"/>
        <v>2297.4300000000003</v>
      </c>
      <c r="U34" s="374">
        <f t="shared" si="23"/>
        <v>6.4000000000000001E-2</v>
      </c>
      <c r="V34" s="371">
        <f t="shared" si="24"/>
        <v>147.03552000000002</v>
      </c>
      <c r="W34" s="371">
        <f t="shared" si="25"/>
        <v>6.15</v>
      </c>
      <c r="X34" s="371">
        <f t="shared" si="26"/>
        <v>153.18552000000003</v>
      </c>
      <c r="Y34" s="371">
        <f t="shared" si="27"/>
        <v>160.35</v>
      </c>
      <c r="Z34" s="371">
        <f t="shared" si="31"/>
        <v>-7.16</v>
      </c>
      <c r="AA34" s="375"/>
      <c r="AB34" s="371">
        <f t="shared" si="30"/>
        <v>160.35</v>
      </c>
      <c r="AC34" s="371">
        <f t="shared" si="28"/>
        <v>0</v>
      </c>
      <c r="AD34" s="371">
        <v>0</v>
      </c>
      <c r="AE34" s="372">
        <v>0</v>
      </c>
      <c r="AF34" s="372">
        <v>0</v>
      </c>
      <c r="AG34" s="372">
        <v>0</v>
      </c>
      <c r="AH34" s="371">
        <f t="shared" si="29"/>
        <v>0</v>
      </c>
      <c r="AI34" s="371">
        <f t="shared" si="15"/>
        <v>2775.79</v>
      </c>
      <c r="AJ34" s="371"/>
      <c r="AK34" s="376"/>
      <c r="AL34" s="377"/>
      <c r="AM34" s="377"/>
    </row>
    <row r="35" spans="1:39" s="99" customFormat="1" ht="28.5" customHeight="1" x14ac:dyDescent="0.3">
      <c r="A35" s="100"/>
      <c r="B35" s="171">
        <v>25</v>
      </c>
      <c r="C35" s="161" t="s">
        <v>382</v>
      </c>
      <c r="D35" s="191" t="s">
        <v>155</v>
      </c>
      <c r="E35" s="176"/>
      <c r="F35" s="191">
        <v>15</v>
      </c>
      <c r="G35" s="204">
        <v>200</v>
      </c>
      <c r="H35" s="205">
        <f t="shared" si="12"/>
        <v>3000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05">
        <f t="shared" si="18"/>
        <v>3000</v>
      </c>
      <c r="P35" s="207"/>
      <c r="Q35" s="205">
        <f t="shared" si="19"/>
        <v>0</v>
      </c>
      <c r="R35" s="205">
        <f t="shared" si="20"/>
        <v>3000</v>
      </c>
      <c r="S35" s="205">
        <f t="shared" si="21"/>
        <v>2699.41</v>
      </c>
      <c r="T35" s="205">
        <f t="shared" si="22"/>
        <v>300.59000000000015</v>
      </c>
      <c r="U35" s="208">
        <f t="shared" si="23"/>
        <v>0.10879999999999999</v>
      </c>
      <c r="V35" s="205">
        <f t="shared" si="24"/>
        <v>32.704192000000013</v>
      </c>
      <c r="W35" s="205">
        <f t="shared" si="25"/>
        <v>158.55000000000001</v>
      </c>
      <c r="X35" s="205">
        <f t="shared" si="26"/>
        <v>191.25419200000002</v>
      </c>
      <c r="Y35" s="205">
        <f t="shared" si="27"/>
        <v>145.35</v>
      </c>
      <c r="Z35" s="205">
        <f t="shared" si="31"/>
        <v>45.9</v>
      </c>
      <c r="AA35" s="209"/>
      <c r="AB35" s="205">
        <f t="shared" si="30"/>
        <v>145.35</v>
      </c>
      <c r="AC35" s="205">
        <f t="shared" si="28"/>
        <v>45.9</v>
      </c>
      <c r="AD35" s="205">
        <v>0</v>
      </c>
      <c r="AE35" s="206">
        <v>0</v>
      </c>
      <c r="AF35" s="206">
        <v>0</v>
      </c>
      <c r="AG35" s="206">
        <v>0</v>
      </c>
      <c r="AH35" s="205">
        <f t="shared" si="29"/>
        <v>45.9</v>
      </c>
      <c r="AI35" s="205">
        <f t="shared" si="15"/>
        <v>3099.45</v>
      </c>
      <c r="AJ35" s="205"/>
      <c r="AK35" s="210"/>
      <c r="AL35" s="101"/>
      <c r="AM35" s="101"/>
    </row>
    <row r="36" spans="1:39" s="99" customFormat="1" ht="28.5" customHeight="1" x14ac:dyDescent="0.3">
      <c r="A36" s="100"/>
      <c r="B36" s="171">
        <v>27</v>
      </c>
      <c r="C36" s="161" t="s">
        <v>538</v>
      </c>
      <c r="D36" s="191" t="s">
        <v>155</v>
      </c>
      <c r="E36" s="176"/>
      <c r="F36" s="191">
        <v>15</v>
      </c>
      <c r="G36" s="204">
        <v>326.93</v>
      </c>
      <c r="H36" s="205">
        <f t="shared" si="12"/>
        <v>4903.95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05">
        <f t="shared" si="18"/>
        <v>4903.95</v>
      </c>
      <c r="P36" s="207"/>
      <c r="Q36" s="205">
        <f t="shared" si="19"/>
        <v>0</v>
      </c>
      <c r="R36" s="205">
        <f t="shared" si="20"/>
        <v>4903.95</v>
      </c>
      <c r="S36" s="205">
        <f t="shared" si="21"/>
        <v>4744.0600000000004</v>
      </c>
      <c r="T36" s="205">
        <f t="shared" si="22"/>
        <v>159.88999999999942</v>
      </c>
      <c r="U36" s="208">
        <f t="shared" si="23"/>
        <v>0.16</v>
      </c>
      <c r="V36" s="205">
        <f t="shared" si="24"/>
        <v>25.582399999999907</v>
      </c>
      <c r="W36" s="205">
        <f t="shared" si="25"/>
        <v>381</v>
      </c>
      <c r="X36" s="205">
        <f t="shared" si="26"/>
        <v>406.58239999999989</v>
      </c>
      <c r="Y36" s="205">
        <f t="shared" si="27"/>
        <v>0</v>
      </c>
      <c r="Z36" s="205">
        <f t="shared" si="31"/>
        <v>406.58</v>
      </c>
      <c r="AA36" s="209"/>
      <c r="AB36" s="205">
        <v>0</v>
      </c>
      <c r="AC36" s="205">
        <f t="shared" si="28"/>
        <v>406.58</v>
      </c>
      <c r="AD36" s="205">
        <v>0</v>
      </c>
      <c r="AE36" s="206">
        <v>0</v>
      </c>
      <c r="AF36" s="206">
        <v>0</v>
      </c>
      <c r="AG36" s="206">
        <v>0</v>
      </c>
      <c r="AH36" s="205">
        <f t="shared" si="29"/>
        <v>406.58</v>
      </c>
      <c r="AI36" s="205">
        <f t="shared" si="15"/>
        <v>4497.37</v>
      </c>
      <c r="AJ36" s="205"/>
      <c r="AK36" s="210"/>
      <c r="AL36" s="101"/>
      <c r="AM36" s="101"/>
    </row>
    <row r="37" spans="1:39" s="99" customFormat="1" ht="28.5" customHeight="1" x14ac:dyDescent="0.3">
      <c r="A37" s="100"/>
      <c r="B37" s="171">
        <v>28</v>
      </c>
      <c r="C37" s="161" t="s">
        <v>534</v>
      </c>
      <c r="D37" s="191" t="s">
        <v>260</v>
      </c>
      <c r="E37" s="191"/>
      <c r="F37" s="191">
        <v>15</v>
      </c>
      <c r="G37" s="204">
        <v>326.93</v>
      </c>
      <c r="H37" s="205">
        <f t="shared" si="12"/>
        <v>4903.95</v>
      </c>
      <c r="I37" s="206">
        <v>0</v>
      </c>
      <c r="J37" s="206">
        <v>0</v>
      </c>
      <c r="K37" s="206">
        <v>0</v>
      </c>
      <c r="L37" s="206">
        <v>0</v>
      </c>
      <c r="M37" s="206">
        <v>0</v>
      </c>
      <c r="N37" s="206">
        <v>0</v>
      </c>
      <c r="O37" s="205">
        <f t="shared" si="18"/>
        <v>4903.95</v>
      </c>
      <c r="P37" s="207"/>
      <c r="Q37" s="205">
        <f t="shared" si="19"/>
        <v>0</v>
      </c>
      <c r="R37" s="205">
        <f t="shared" si="20"/>
        <v>4903.95</v>
      </c>
      <c r="S37" s="205">
        <f t="shared" si="21"/>
        <v>4744.0600000000004</v>
      </c>
      <c r="T37" s="205">
        <f t="shared" si="22"/>
        <v>159.88999999999942</v>
      </c>
      <c r="U37" s="208">
        <f t="shared" si="23"/>
        <v>0.16</v>
      </c>
      <c r="V37" s="205">
        <f t="shared" si="24"/>
        <v>25.582399999999907</v>
      </c>
      <c r="W37" s="205">
        <f t="shared" si="25"/>
        <v>381</v>
      </c>
      <c r="X37" s="205">
        <f t="shared" si="26"/>
        <v>406.58239999999989</v>
      </c>
      <c r="Y37" s="205">
        <f t="shared" si="27"/>
        <v>0</v>
      </c>
      <c r="Z37" s="205">
        <f t="shared" si="31"/>
        <v>406.58</v>
      </c>
      <c r="AA37" s="209"/>
      <c r="AB37" s="205">
        <v>0</v>
      </c>
      <c r="AC37" s="205">
        <f t="shared" si="28"/>
        <v>406.58</v>
      </c>
      <c r="AD37" s="205">
        <v>0</v>
      </c>
      <c r="AE37" s="206">
        <v>0</v>
      </c>
      <c r="AF37" s="206">
        <v>0</v>
      </c>
      <c r="AG37" s="206">
        <v>0</v>
      </c>
      <c r="AH37" s="205">
        <f t="shared" si="29"/>
        <v>406.58</v>
      </c>
      <c r="AI37" s="205">
        <f t="shared" si="15"/>
        <v>4497.37</v>
      </c>
      <c r="AJ37" s="205"/>
      <c r="AK37" s="210"/>
      <c r="AL37" s="101"/>
      <c r="AM37" s="101"/>
    </row>
    <row r="38" spans="1:39" s="378" customFormat="1" ht="28.5" customHeight="1" x14ac:dyDescent="0.3">
      <c r="A38" s="365"/>
      <c r="B38" s="366">
        <v>29</v>
      </c>
      <c r="C38" s="367" t="s">
        <v>231</v>
      </c>
      <c r="D38" s="368" t="s">
        <v>232</v>
      </c>
      <c r="E38" s="369"/>
      <c r="F38" s="368">
        <v>8</v>
      </c>
      <c r="G38" s="370">
        <v>326.93</v>
      </c>
      <c r="H38" s="371">
        <f t="shared" si="12"/>
        <v>2615.44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372">
        <v>0</v>
      </c>
      <c r="O38" s="371">
        <f t="shared" si="18"/>
        <v>2615.44</v>
      </c>
      <c r="P38" s="373"/>
      <c r="Q38" s="371">
        <f t="shared" si="19"/>
        <v>0</v>
      </c>
      <c r="R38" s="371">
        <f t="shared" si="20"/>
        <v>2615.44</v>
      </c>
      <c r="S38" s="371">
        <f t="shared" si="21"/>
        <v>318.01</v>
      </c>
      <c r="T38" s="371">
        <f>R38-S38</f>
        <v>2297.4300000000003</v>
      </c>
      <c r="U38" s="374">
        <f t="shared" si="23"/>
        <v>6.4000000000000001E-2</v>
      </c>
      <c r="V38" s="371">
        <f t="shared" si="24"/>
        <v>147.03552000000002</v>
      </c>
      <c r="W38" s="371">
        <f t="shared" si="25"/>
        <v>6.15</v>
      </c>
      <c r="X38" s="371">
        <f t="shared" si="26"/>
        <v>153.18552000000003</v>
      </c>
      <c r="Y38" s="371">
        <f t="shared" si="27"/>
        <v>160.35</v>
      </c>
      <c r="Z38" s="371">
        <f t="shared" si="31"/>
        <v>-7.16</v>
      </c>
      <c r="AA38" s="375"/>
      <c r="AB38" s="371">
        <v>0</v>
      </c>
      <c r="AC38" s="371">
        <f t="shared" si="28"/>
        <v>0</v>
      </c>
      <c r="AD38" s="371">
        <v>0</v>
      </c>
      <c r="AE38" s="372">
        <v>0</v>
      </c>
      <c r="AF38" s="372">
        <v>0</v>
      </c>
      <c r="AG38" s="372">
        <v>0</v>
      </c>
      <c r="AH38" s="371">
        <f t="shared" si="29"/>
        <v>0</v>
      </c>
      <c r="AI38" s="371">
        <f t="shared" si="15"/>
        <v>2615.44</v>
      </c>
      <c r="AJ38" s="371"/>
      <c r="AK38" s="376"/>
      <c r="AL38" s="377"/>
      <c r="AM38" s="377"/>
    </row>
    <row r="39" spans="1:39" s="99" customFormat="1" ht="28.5" customHeight="1" x14ac:dyDescent="0.3">
      <c r="A39" s="100"/>
      <c r="B39" s="171">
        <v>30</v>
      </c>
      <c r="C39" s="161" t="s">
        <v>496</v>
      </c>
      <c r="D39" s="191" t="s">
        <v>133</v>
      </c>
      <c r="E39" s="176"/>
      <c r="F39" s="191">
        <v>15</v>
      </c>
      <c r="G39" s="204">
        <v>108.6</v>
      </c>
      <c r="H39" s="205">
        <f t="shared" si="12"/>
        <v>1629</v>
      </c>
      <c r="I39" s="206">
        <v>0</v>
      </c>
      <c r="J39" s="206">
        <v>0</v>
      </c>
      <c r="K39" s="206">
        <v>0</v>
      </c>
      <c r="L39" s="206">
        <v>0</v>
      </c>
      <c r="M39" s="206">
        <v>0</v>
      </c>
      <c r="N39" s="206">
        <v>0</v>
      </c>
      <c r="O39" s="205">
        <f t="shared" si="18"/>
        <v>1629</v>
      </c>
      <c r="P39" s="207"/>
      <c r="Q39" s="205">
        <f t="shared" si="19"/>
        <v>0</v>
      </c>
      <c r="R39" s="205">
        <f t="shared" si="20"/>
        <v>1629</v>
      </c>
      <c r="S39" s="205">
        <f t="shared" si="21"/>
        <v>318.01</v>
      </c>
      <c r="T39" s="205">
        <f>R39-S39</f>
        <v>1310.99</v>
      </c>
      <c r="U39" s="208">
        <f t="shared" si="23"/>
        <v>6.4000000000000001E-2</v>
      </c>
      <c r="V39" s="205">
        <f t="shared" si="24"/>
        <v>83.903360000000006</v>
      </c>
      <c r="W39" s="205">
        <f t="shared" si="25"/>
        <v>6.15</v>
      </c>
      <c r="X39" s="205">
        <f t="shared" si="26"/>
        <v>90.053360000000012</v>
      </c>
      <c r="Y39" s="205">
        <f t="shared" si="27"/>
        <v>200.7</v>
      </c>
      <c r="Z39" s="205">
        <f t="shared" si="31"/>
        <v>-110.65</v>
      </c>
      <c r="AA39" s="209"/>
      <c r="AB39" s="205">
        <v>0</v>
      </c>
      <c r="AC39" s="205">
        <f t="shared" si="28"/>
        <v>0</v>
      </c>
      <c r="AD39" s="205">
        <v>0</v>
      </c>
      <c r="AE39" s="206">
        <v>0</v>
      </c>
      <c r="AF39" s="206">
        <v>0</v>
      </c>
      <c r="AG39" s="206">
        <v>0</v>
      </c>
      <c r="AH39" s="205">
        <f t="shared" si="29"/>
        <v>0</v>
      </c>
      <c r="AI39" s="205">
        <f t="shared" si="15"/>
        <v>1629</v>
      </c>
      <c r="AJ39" s="205"/>
      <c r="AK39" s="210"/>
      <c r="AL39" s="101"/>
      <c r="AM39" s="101"/>
    </row>
    <row r="40" spans="1:39" s="99" customFormat="1" ht="28.5" customHeight="1" x14ac:dyDescent="0.3">
      <c r="A40" s="100"/>
      <c r="B40" s="178"/>
      <c r="C40" s="212"/>
      <c r="D40" s="199"/>
      <c r="E40" s="213"/>
      <c r="F40" s="199"/>
      <c r="G40" s="214"/>
      <c r="H40" s="215"/>
      <c r="I40" s="216"/>
      <c r="J40" s="216"/>
      <c r="K40" s="216"/>
      <c r="L40" s="216"/>
      <c r="M40" s="216"/>
      <c r="N40" s="216"/>
      <c r="O40" s="215"/>
      <c r="P40" s="217"/>
      <c r="Q40" s="215"/>
      <c r="R40" s="215"/>
      <c r="S40" s="215"/>
      <c r="T40" s="215"/>
      <c r="U40" s="218"/>
      <c r="V40" s="215"/>
      <c r="W40" s="215"/>
      <c r="X40" s="215"/>
      <c r="Y40" s="215"/>
      <c r="Z40" s="215"/>
      <c r="AA40" s="219"/>
      <c r="AB40" s="215"/>
      <c r="AC40" s="215"/>
      <c r="AD40" s="215"/>
      <c r="AE40" s="216"/>
      <c r="AF40" s="216"/>
      <c r="AG40" s="216"/>
      <c r="AH40" s="215"/>
      <c r="AI40" s="215"/>
      <c r="AJ40" s="215"/>
      <c r="AK40" s="210"/>
      <c r="AL40" s="101"/>
      <c r="AM40" s="101"/>
    </row>
    <row r="41" spans="1:39" ht="24" customHeight="1" x14ac:dyDescent="0.25">
      <c r="B41" s="178"/>
      <c r="C41" s="200"/>
      <c r="D41" s="178"/>
      <c r="E41" s="178"/>
      <c r="F41" s="178"/>
      <c r="G41" s="178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15"/>
      <c r="AI41" s="221"/>
      <c r="AJ41" s="201"/>
      <c r="AK41" s="203"/>
    </row>
    <row r="42" spans="1:39" ht="24" customHeight="1" thickBot="1" x14ac:dyDescent="0.3">
      <c r="B42" s="451" t="s">
        <v>68</v>
      </c>
      <c r="C42" s="452"/>
      <c r="D42" s="452"/>
      <c r="E42" s="452"/>
      <c r="F42" s="452"/>
      <c r="G42" s="453"/>
      <c r="H42" s="222">
        <f>SUM(H11:H41)</f>
        <v>135626.70999999996</v>
      </c>
      <c r="I42" s="222">
        <f t="shared" ref="I42:AH42" si="32">SUM(I11:I41)</f>
        <v>0</v>
      </c>
      <c r="J42" s="222">
        <f t="shared" si="32"/>
        <v>0</v>
      </c>
      <c r="K42" s="222">
        <f t="shared" si="32"/>
        <v>0</v>
      </c>
      <c r="L42" s="222">
        <f t="shared" si="32"/>
        <v>0</v>
      </c>
      <c r="M42" s="222">
        <f t="shared" si="32"/>
        <v>0</v>
      </c>
      <c r="N42" s="222">
        <f t="shared" si="32"/>
        <v>0</v>
      </c>
      <c r="O42" s="222">
        <f t="shared" si="32"/>
        <v>135626.70999999996</v>
      </c>
      <c r="P42" s="222">
        <f t="shared" si="32"/>
        <v>0</v>
      </c>
      <c r="Q42" s="222">
        <f t="shared" si="32"/>
        <v>0</v>
      </c>
      <c r="R42" s="222">
        <f t="shared" si="32"/>
        <v>135626.70999999996</v>
      </c>
      <c r="S42" s="222">
        <f t="shared" si="32"/>
        <v>118661.53999999995</v>
      </c>
      <c r="T42" s="222">
        <f t="shared" si="32"/>
        <v>16965.169999999991</v>
      </c>
      <c r="U42" s="222">
        <f t="shared" si="32"/>
        <v>4.2544000000000013</v>
      </c>
      <c r="V42" s="222">
        <f t="shared" si="32"/>
        <v>1847.2205759999986</v>
      </c>
      <c r="W42" s="222">
        <f t="shared" si="32"/>
        <v>9835.4999999999982</v>
      </c>
      <c r="X42" s="222">
        <f t="shared" si="32"/>
        <v>11682.720576</v>
      </c>
      <c r="Y42" s="222">
        <f t="shared" si="32"/>
        <v>987.45</v>
      </c>
      <c r="Z42" s="222">
        <f t="shared" si="32"/>
        <v>10695.23</v>
      </c>
      <c r="AA42" s="222">
        <f t="shared" si="32"/>
        <v>0</v>
      </c>
      <c r="AB42" s="222">
        <f t="shared" si="32"/>
        <v>626.4</v>
      </c>
      <c r="AC42" s="222">
        <f t="shared" si="32"/>
        <v>10834.519999999999</v>
      </c>
      <c r="AD42" s="222">
        <f t="shared" si="32"/>
        <v>0</v>
      </c>
      <c r="AE42" s="222">
        <f>SUM(AE11:AE41)</f>
        <v>0</v>
      </c>
      <c r="AF42" s="222">
        <f t="shared" si="32"/>
        <v>0</v>
      </c>
      <c r="AG42" s="222">
        <f t="shared" si="32"/>
        <v>0</v>
      </c>
      <c r="AH42" s="222">
        <f t="shared" si="32"/>
        <v>10834.519999999999</v>
      </c>
      <c r="AI42" s="222">
        <f>SUM(AI11:AI39)</f>
        <v>125418.58999999995</v>
      </c>
      <c r="AJ42" s="201"/>
      <c r="AK42" s="203"/>
      <c r="AL42" s="108">
        <f>O42+AB42-AH42</f>
        <v>125418.58999999995</v>
      </c>
    </row>
    <row r="43" spans="1:39" ht="24" customHeight="1" thickTop="1" x14ac:dyDescent="0.25">
      <c r="B43" s="201"/>
      <c r="C43" s="202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3"/>
    </row>
    <row r="44" spans="1:39" ht="14.25" customHeight="1" thickBot="1" x14ac:dyDescent="0.3">
      <c r="B44" s="201"/>
      <c r="C44" s="223"/>
      <c r="D44" s="224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178"/>
      <c r="AC44" s="178"/>
      <c r="AD44" s="224"/>
      <c r="AE44" s="224"/>
      <c r="AF44" s="224"/>
      <c r="AG44" s="224"/>
      <c r="AH44" s="224"/>
      <c r="AI44" s="224"/>
      <c r="AJ44" s="224"/>
      <c r="AK44" s="203"/>
    </row>
    <row r="45" spans="1:39" ht="20.25" customHeight="1" x14ac:dyDescent="0.25">
      <c r="B45" s="201"/>
      <c r="C45" s="417" t="s">
        <v>304</v>
      </c>
      <c r="D45" s="417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C45" s="358"/>
      <c r="AD45" s="359"/>
      <c r="AE45" s="359"/>
      <c r="AF45" s="359"/>
      <c r="AG45" s="359"/>
      <c r="AH45" s="481" t="s">
        <v>305</v>
      </c>
      <c r="AI45" s="481"/>
      <c r="AJ45" s="481"/>
      <c r="AK45" s="203"/>
    </row>
    <row r="46" spans="1:39" ht="18.75" customHeight="1" x14ac:dyDescent="0.3">
      <c r="C46" s="406" t="s">
        <v>335</v>
      </c>
      <c r="D46" s="406"/>
      <c r="AC46" s="360"/>
      <c r="AD46" s="360"/>
      <c r="AE46" s="360"/>
      <c r="AF46" s="360"/>
      <c r="AG46" s="360"/>
      <c r="AH46" s="482" t="s">
        <v>104</v>
      </c>
      <c r="AI46" s="482"/>
      <c r="AJ46" s="482"/>
    </row>
    <row r="47" spans="1:39" x14ac:dyDescent="0.25">
      <c r="AI47" s="108"/>
    </row>
    <row r="48" spans="1:39" x14ac:dyDescent="0.25">
      <c r="AI48" s="108"/>
    </row>
    <row r="49" spans="29:36" x14ac:dyDescent="0.25">
      <c r="AC49" s="112"/>
      <c r="AD49" s="112"/>
      <c r="AE49" s="112"/>
      <c r="AF49" s="112"/>
      <c r="AG49" s="112"/>
      <c r="AH49" s="112"/>
      <c r="AI49" s="116"/>
      <c r="AJ49" s="108"/>
    </row>
    <row r="50" spans="29:36" x14ac:dyDescent="0.25">
      <c r="AC50" s="112"/>
      <c r="AD50" s="112"/>
      <c r="AE50" s="112"/>
      <c r="AF50" s="112"/>
      <c r="AG50" s="112"/>
      <c r="AH50" s="112"/>
      <c r="AI50" s="116"/>
      <c r="AJ50" s="108"/>
    </row>
    <row r="51" spans="29:36" x14ac:dyDescent="0.25">
      <c r="AC51" s="112"/>
      <c r="AD51" s="112"/>
      <c r="AE51" s="112"/>
      <c r="AF51" s="112"/>
      <c r="AG51" s="112"/>
      <c r="AH51" s="112"/>
      <c r="AI51" s="116"/>
    </row>
    <row r="52" spans="29:36" x14ac:dyDescent="0.25">
      <c r="AC52" s="112"/>
      <c r="AD52" s="112"/>
      <c r="AE52" s="112"/>
      <c r="AF52" s="112"/>
      <c r="AG52" s="112"/>
      <c r="AH52" s="112"/>
      <c r="AI52" s="116"/>
    </row>
    <row r="53" spans="29:36" x14ac:dyDescent="0.25">
      <c r="AC53" s="112"/>
      <c r="AD53" s="112"/>
      <c r="AE53" s="112"/>
      <c r="AF53" s="112"/>
      <c r="AG53" s="112"/>
      <c r="AH53" s="112"/>
      <c r="AI53" s="116"/>
    </row>
    <row r="54" spans="29:36" x14ac:dyDescent="0.25">
      <c r="AC54" s="112"/>
      <c r="AD54" s="112"/>
      <c r="AE54" s="112"/>
      <c r="AF54" s="112"/>
      <c r="AG54" s="112"/>
      <c r="AH54" s="112"/>
      <c r="AI54" s="116">
        <f>+AI49+PROT.CIVIL!AI43</f>
        <v>0</v>
      </c>
    </row>
    <row r="55" spans="29:36" x14ac:dyDescent="0.25">
      <c r="AC55" s="112"/>
      <c r="AD55" s="112"/>
      <c r="AE55" s="112"/>
      <c r="AF55" s="112"/>
      <c r="AG55" s="112"/>
      <c r="AH55" s="112"/>
      <c r="AI55" s="112"/>
    </row>
    <row r="56" spans="29:36" x14ac:dyDescent="0.25">
      <c r="AC56" s="112" t="s">
        <v>199</v>
      </c>
      <c r="AD56" s="112"/>
      <c r="AE56" s="112"/>
      <c r="AF56" s="112"/>
      <c r="AG56" s="112"/>
      <c r="AH56" s="112"/>
      <c r="AI56" s="116">
        <f>+AI50+PROT.CIVIL!AI40</f>
        <v>0</v>
      </c>
    </row>
    <row r="57" spans="29:36" x14ac:dyDescent="0.25">
      <c r="AC57" s="112" t="s">
        <v>200</v>
      </c>
      <c r="AD57" s="112"/>
      <c r="AE57" s="112"/>
      <c r="AF57" s="112"/>
      <c r="AG57" s="112"/>
      <c r="AH57" s="112"/>
      <c r="AI57" s="116">
        <f>+AI51+PROT.CIVIL!AI41</f>
        <v>0</v>
      </c>
    </row>
    <row r="58" spans="29:36" x14ac:dyDescent="0.25">
      <c r="AC58" s="112"/>
      <c r="AD58" s="112"/>
      <c r="AE58" s="112"/>
      <c r="AF58" s="112"/>
      <c r="AG58" s="112"/>
      <c r="AH58" s="112"/>
      <c r="AI58" s="116">
        <f>+AI56+AI57</f>
        <v>0</v>
      </c>
    </row>
    <row r="59" spans="29:36" x14ac:dyDescent="0.25">
      <c r="AI59" s="108"/>
    </row>
  </sheetData>
  <mergeCells count="9">
    <mergeCell ref="C45:D45"/>
    <mergeCell ref="C46:D46"/>
    <mergeCell ref="B7:AI7"/>
    <mergeCell ref="H8:O8"/>
    <mergeCell ref="S8:X8"/>
    <mergeCell ref="AC8:AH8"/>
    <mergeCell ref="B42:G42"/>
    <mergeCell ref="AH45:AJ45"/>
    <mergeCell ref="AH46:AJ46"/>
  </mergeCells>
  <pageMargins left="0.39370078740157483" right="0.39370078740157483" top="0.59055118110236227" bottom="0.59055118110236227" header="0.19685039370078741" footer="0.31496062992125984"/>
  <pageSetup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3" transitionEvaluation="1" codeName="Hoja111">
    <tabColor rgb="FFFFFF00"/>
    <pageSetUpPr fitToPage="1"/>
  </sheetPr>
  <dimension ref="B1:AH50"/>
  <sheetViews>
    <sheetView showGridLines="0" topLeftCell="A13" zoomScale="75" workbookViewId="0">
      <selection activeCell="F34" sqref="F34"/>
    </sheetView>
  </sheetViews>
  <sheetFormatPr baseColWidth="10" defaultColWidth="11" defaultRowHeight="12.5" x14ac:dyDescent="0.25"/>
  <cols>
    <col min="1" max="1" width="11" style="5"/>
    <col min="2" max="2" width="49.54296875" style="5" customWidth="1"/>
    <col min="3" max="3" width="15.453125" style="5" customWidth="1"/>
    <col min="4" max="4" width="4.26953125" style="5" customWidth="1"/>
    <col min="5" max="5" width="11.81640625" style="5" hidden="1" customWidth="1"/>
    <col min="6" max="6" width="43.54296875" style="5" customWidth="1"/>
    <col min="7" max="7" width="12" style="5" bestFit="1" customWidth="1"/>
    <col min="8" max="8" width="11" style="5"/>
    <col min="9" max="22" width="8.7265625" style="5" customWidth="1"/>
    <col min="23" max="24" width="11" style="5"/>
    <col min="25" max="25" width="12.26953125" style="5" bestFit="1" customWidth="1"/>
    <col min="26" max="26" width="11.54296875" style="5" bestFit="1" customWidth="1"/>
    <col min="27" max="27" width="10.54296875" style="5" customWidth="1"/>
    <col min="28" max="28" width="11" style="5"/>
    <col min="29" max="29" width="12" style="5" hidden="1" customWidth="1"/>
    <col min="30" max="31" width="11.26953125" style="5" hidden="1" customWidth="1"/>
    <col min="32" max="32" width="11" style="5"/>
    <col min="33" max="34" width="11.1796875" style="5" bestFit="1" customWidth="1"/>
    <col min="35" max="16384" width="11" style="5"/>
  </cols>
  <sheetData>
    <row r="1" spans="2:34" x14ac:dyDescent="0.25">
      <c r="B1" s="4"/>
      <c r="C1" s="4"/>
      <c r="D1" s="4"/>
      <c r="E1" s="4"/>
      <c r="F1" s="4"/>
    </row>
    <row r="2" spans="2:34" ht="25.5" customHeight="1" x14ac:dyDescent="0.4">
      <c r="B2" s="8" t="s">
        <v>97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34" ht="25.5" customHeight="1" x14ac:dyDescent="0.4">
      <c r="B3" s="80" t="s">
        <v>78</v>
      </c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4" ht="25.5" customHeight="1" x14ac:dyDescent="0.35">
      <c r="B4" s="81" t="s">
        <v>11</v>
      </c>
      <c r="C4" s="9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34" ht="26.25" customHeight="1" x14ac:dyDescent="0.35">
      <c r="B5" s="82" t="s">
        <v>190</v>
      </c>
      <c r="C5" s="9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34" ht="12.75" customHeight="1" x14ac:dyDescent="0.25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34" x14ac:dyDescent="0.25">
      <c r="B7" s="10"/>
      <c r="C7" s="10"/>
      <c r="D7" s="10"/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34" x14ac:dyDescent="0.25">
      <c r="B8" s="10"/>
      <c r="C8" s="10"/>
      <c r="D8" s="10"/>
      <c r="E8" s="10"/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4" ht="18" x14ac:dyDescent="0.4">
      <c r="B9" s="11" t="s">
        <v>12</v>
      </c>
      <c r="C9" s="11"/>
      <c r="D9" s="12"/>
      <c r="E9" s="11"/>
      <c r="F9" s="1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34" ht="17.5" x14ac:dyDescent="0.35">
      <c r="B10" s="12"/>
      <c r="C10" s="12"/>
      <c r="D10" s="12"/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34" ht="15.5" x14ac:dyDescent="0.35"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483" t="s">
        <v>189</v>
      </c>
      <c r="Z11" s="483"/>
      <c r="AA11" s="483"/>
      <c r="AB11" s="483"/>
      <c r="AC11" s="483"/>
      <c r="AD11" s="483"/>
      <c r="AE11" s="483"/>
      <c r="AF11" s="483"/>
    </row>
    <row r="12" spans="2:34" ht="20.25" customHeight="1" x14ac:dyDescent="0.3">
      <c r="B12" s="17" t="s">
        <v>13</v>
      </c>
      <c r="C12" s="83">
        <v>16641.599999999999</v>
      </c>
      <c r="D12" s="18"/>
      <c r="E12" s="18"/>
      <c r="F12" s="18"/>
      <c r="G12" s="19"/>
      <c r="H12" s="19"/>
      <c r="I12" s="19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9"/>
      <c r="X12" s="16"/>
      <c r="Y12" s="16"/>
      <c r="AA12" s="20"/>
      <c r="AB12" s="20"/>
    </row>
    <row r="13" spans="2:34" ht="22.5" customHeight="1" x14ac:dyDescent="0.35">
      <c r="B13" s="17" t="s">
        <v>25</v>
      </c>
      <c r="C13" s="83">
        <v>0</v>
      </c>
      <c r="D13" s="18"/>
      <c r="E13" s="18"/>
      <c r="F13" s="18"/>
      <c r="Y13" s="21" t="s">
        <v>14</v>
      </c>
      <c r="Z13" s="21"/>
      <c r="AA13" s="16"/>
      <c r="AB13" s="7"/>
      <c r="AC13" s="21"/>
      <c r="AD13" s="16"/>
      <c r="AE13" s="16"/>
      <c r="AG13" s="21" t="s">
        <v>8</v>
      </c>
      <c r="AH13" s="22"/>
    </row>
    <row r="14" spans="2:34" ht="13.5" customHeight="1" x14ac:dyDescent="0.35">
      <c r="B14" s="17" t="s">
        <v>15</v>
      </c>
      <c r="C14" s="84"/>
      <c r="D14" s="18"/>
      <c r="E14" s="18"/>
      <c r="F14" s="18"/>
      <c r="Y14" s="24" t="s">
        <v>12</v>
      </c>
      <c r="Z14" s="16"/>
      <c r="AA14" s="21"/>
      <c r="AB14" s="25"/>
      <c r="AC14" s="24"/>
      <c r="AD14" s="21"/>
      <c r="AE14" s="26"/>
      <c r="AF14" s="27"/>
      <c r="AG14" s="24" t="s">
        <v>79</v>
      </c>
      <c r="AH14" s="28"/>
    </row>
    <row r="15" spans="2:34" ht="20.25" customHeight="1" x14ac:dyDescent="0.3">
      <c r="B15" s="17" t="s">
        <v>16</v>
      </c>
      <c r="C15" s="85">
        <f>C12-C13</f>
        <v>16641.599999999999</v>
      </c>
      <c r="D15" s="18"/>
      <c r="E15" s="29"/>
      <c r="F15" s="18"/>
      <c r="Y15" s="30" t="s">
        <v>17</v>
      </c>
      <c r="Z15" s="30" t="s">
        <v>18</v>
      </c>
      <c r="AA15" s="30" t="s">
        <v>1</v>
      </c>
      <c r="AB15" s="31"/>
      <c r="AC15" s="30"/>
      <c r="AD15" s="30"/>
      <c r="AE15" s="30"/>
      <c r="AF15" s="32"/>
      <c r="AG15" s="30" t="s">
        <v>19</v>
      </c>
      <c r="AH15" s="30" t="s">
        <v>8</v>
      </c>
    </row>
    <row r="16" spans="2:34" ht="22.5" customHeight="1" x14ac:dyDescent="0.3">
      <c r="B16" s="17" t="s">
        <v>26</v>
      </c>
      <c r="C16" s="85" t="e">
        <f>VLOOKUP(C15,TARIFA,1)</f>
        <v>#NAME?</v>
      </c>
      <c r="D16" s="18"/>
      <c r="E16" s="29"/>
      <c r="F16" s="18"/>
      <c r="Y16" s="7"/>
      <c r="Z16" s="7"/>
      <c r="AA16" s="7"/>
      <c r="AB16" s="7"/>
      <c r="AC16" s="7"/>
      <c r="AD16" s="7"/>
      <c r="AE16" s="7"/>
    </row>
    <row r="17" spans="2:34" ht="17.25" customHeight="1" x14ac:dyDescent="0.3">
      <c r="B17" s="18"/>
      <c r="C17" s="84"/>
      <c r="D17" s="18"/>
      <c r="E17" s="23"/>
      <c r="F17" s="18"/>
      <c r="Y17" s="92">
        <v>0.01</v>
      </c>
      <c r="Z17" s="92">
        <v>0</v>
      </c>
      <c r="AA17" s="93">
        <v>1.9199999999999998E-2</v>
      </c>
      <c r="AB17" s="33"/>
      <c r="AC17" s="33"/>
      <c r="AD17" s="33"/>
      <c r="AE17" s="34"/>
      <c r="AF17" s="33"/>
      <c r="AG17" s="92">
        <v>0.01</v>
      </c>
      <c r="AH17" s="92">
        <v>200.85</v>
      </c>
    </row>
    <row r="18" spans="2:34" ht="20.25" customHeight="1" x14ac:dyDescent="0.3">
      <c r="B18" s="17" t="s">
        <v>20</v>
      </c>
      <c r="C18" s="85" t="e">
        <f>C15-C16</f>
        <v>#NAME?</v>
      </c>
      <c r="D18" s="29"/>
      <c r="E18" s="29"/>
      <c r="F18" s="18"/>
      <c r="Y18" s="92">
        <v>318.01</v>
      </c>
      <c r="Z18" s="92">
        <v>6.15</v>
      </c>
      <c r="AA18" s="93">
        <v>6.4000000000000001E-2</v>
      </c>
      <c r="AB18" s="33"/>
      <c r="AC18" s="33"/>
      <c r="AD18" s="33"/>
      <c r="AE18" s="34"/>
      <c r="AF18" s="33"/>
      <c r="AG18" s="92">
        <v>872.86</v>
      </c>
      <c r="AH18" s="92">
        <v>200.7</v>
      </c>
    </row>
    <row r="19" spans="2:34" ht="22.5" customHeight="1" x14ac:dyDescent="0.3">
      <c r="B19" s="17" t="s">
        <v>27</v>
      </c>
      <c r="C19" s="86" t="e">
        <f>VLOOKUP(C15,TARIFA,3)</f>
        <v>#NAME?</v>
      </c>
      <c r="D19" s="18"/>
      <c r="E19" s="36"/>
      <c r="F19" s="18"/>
      <c r="Y19" s="92">
        <v>2699.41</v>
      </c>
      <c r="Z19" s="92">
        <v>158.55000000000001</v>
      </c>
      <c r="AA19" s="93">
        <v>0.10879999999999999</v>
      </c>
      <c r="AB19" s="33"/>
      <c r="AC19" s="33"/>
      <c r="AD19" s="33"/>
      <c r="AE19" s="34"/>
      <c r="AF19" s="33"/>
      <c r="AG19" s="92">
        <v>1309.21</v>
      </c>
      <c r="AH19" s="92">
        <v>200.7</v>
      </c>
    </row>
    <row r="20" spans="2:34" ht="14.25" customHeight="1" x14ac:dyDescent="0.3">
      <c r="B20" s="18"/>
      <c r="C20" s="23"/>
      <c r="D20" s="18"/>
      <c r="E20" s="23"/>
      <c r="F20" s="18"/>
      <c r="Y20" s="92">
        <v>4744.0600000000004</v>
      </c>
      <c r="Z20" s="92">
        <v>381</v>
      </c>
      <c r="AA20" s="93">
        <v>0.16</v>
      </c>
      <c r="AB20" s="33"/>
      <c r="AC20" s="33"/>
      <c r="AD20" s="33"/>
      <c r="AE20" s="34"/>
      <c r="AF20" s="33"/>
      <c r="AG20" s="92">
        <v>1713.61</v>
      </c>
      <c r="AH20" s="92">
        <v>193.8</v>
      </c>
    </row>
    <row r="21" spans="2:34" ht="20.25" customHeight="1" x14ac:dyDescent="0.3">
      <c r="B21" s="37" t="s">
        <v>21</v>
      </c>
      <c r="C21" s="87" t="e">
        <f>C18*C19</f>
        <v>#NAME?</v>
      </c>
      <c r="D21" s="38"/>
      <c r="E21" s="38"/>
      <c r="F21" s="18"/>
      <c r="Y21" s="92">
        <v>5514.76</v>
      </c>
      <c r="Z21" s="92">
        <v>504.3</v>
      </c>
      <c r="AA21" s="93">
        <v>0.1792</v>
      </c>
      <c r="AB21" s="33"/>
      <c r="AC21" s="33"/>
      <c r="AD21" s="33"/>
      <c r="AE21" s="34"/>
      <c r="AF21" s="33"/>
      <c r="AG21" s="92">
        <v>1745.71</v>
      </c>
      <c r="AH21" s="92">
        <v>188.7</v>
      </c>
    </row>
    <row r="22" spans="2:34" ht="17.25" customHeight="1" x14ac:dyDescent="0.3">
      <c r="B22" s="17" t="s">
        <v>28</v>
      </c>
      <c r="C22" s="85" t="e">
        <f>VLOOKUP(C15,TARIFA,2)</f>
        <v>#NAME?</v>
      </c>
      <c r="D22" s="18"/>
      <c r="E22" s="39"/>
      <c r="F22" s="18"/>
      <c r="Y22" s="92">
        <v>6602.71</v>
      </c>
      <c r="Z22" s="92">
        <v>699.3</v>
      </c>
      <c r="AA22" s="93">
        <v>0.21360000000000001</v>
      </c>
      <c r="AB22" s="33"/>
      <c r="AC22" s="33"/>
      <c r="AD22" s="33"/>
      <c r="AE22" s="34"/>
      <c r="AF22" s="33"/>
      <c r="AG22" s="92">
        <v>2193.7600000000002</v>
      </c>
      <c r="AH22" s="92">
        <v>174.75</v>
      </c>
    </row>
    <row r="23" spans="2:34" ht="14.25" customHeight="1" x14ac:dyDescent="0.3">
      <c r="B23" s="42"/>
      <c r="C23" s="88"/>
      <c r="D23" s="18"/>
      <c r="E23" s="23"/>
      <c r="F23" s="18"/>
      <c r="Y23" s="92">
        <v>13316.71</v>
      </c>
      <c r="Z23" s="92">
        <v>2133.3000000000002</v>
      </c>
      <c r="AA23" s="93">
        <v>0.23519999999999999</v>
      </c>
      <c r="AB23" s="33"/>
      <c r="AC23" s="33"/>
      <c r="AD23" s="33"/>
      <c r="AE23" s="34"/>
      <c r="AF23" s="33"/>
      <c r="AG23" s="92">
        <v>2327.56</v>
      </c>
      <c r="AH23" s="92">
        <v>160.35</v>
      </c>
    </row>
    <row r="24" spans="2:34" ht="20.25" customHeight="1" x14ac:dyDescent="0.3">
      <c r="B24" s="42" t="s">
        <v>80</v>
      </c>
      <c r="C24" s="88" t="e">
        <f>+C21+C22</f>
        <v>#NAME?</v>
      </c>
      <c r="D24" s="18"/>
      <c r="E24" s="38"/>
      <c r="F24" s="40"/>
      <c r="Y24" s="92">
        <v>20988.91</v>
      </c>
      <c r="Z24" s="92">
        <v>3937.8</v>
      </c>
      <c r="AA24" s="93">
        <v>0.3</v>
      </c>
      <c r="AB24" s="33"/>
      <c r="AC24" s="33"/>
      <c r="AD24" s="33"/>
      <c r="AE24" s="34"/>
      <c r="AF24" s="33"/>
      <c r="AG24" s="92">
        <v>2632.66</v>
      </c>
      <c r="AH24" s="92">
        <v>145.35</v>
      </c>
    </row>
    <row r="25" spans="2:34" ht="21.75" customHeight="1" x14ac:dyDescent="0.3">
      <c r="C25" s="89"/>
      <c r="D25" s="41"/>
      <c r="E25" s="29"/>
      <c r="F25" s="18"/>
      <c r="Y25" s="92">
        <v>40071.31</v>
      </c>
      <c r="Z25" s="92">
        <v>9662.5499999999993</v>
      </c>
      <c r="AA25" s="93">
        <v>0.32</v>
      </c>
      <c r="AB25" s="33"/>
      <c r="AC25" s="33"/>
      <c r="AD25" s="33"/>
      <c r="AE25" s="35"/>
      <c r="AF25" s="33"/>
      <c r="AG25" s="92">
        <v>3071.41</v>
      </c>
      <c r="AH25" s="92">
        <v>125.1</v>
      </c>
    </row>
    <row r="26" spans="2:34" ht="21.75" customHeight="1" x14ac:dyDescent="0.3">
      <c r="B26" s="17" t="s">
        <v>82</v>
      </c>
      <c r="C26" s="85" t="e">
        <f>VLOOKUP(C15,CREDITO,2)</f>
        <v>#NAME?</v>
      </c>
      <c r="D26" s="18"/>
      <c r="E26" s="43"/>
      <c r="F26" s="44"/>
      <c r="Y26" s="92">
        <v>53428.51</v>
      </c>
      <c r="Z26" s="92">
        <v>13936.8</v>
      </c>
      <c r="AA26" s="93">
        <v>0.34</v>
      </c>
      <c r="AB26" s="33"/>
      <c r="AC26" s="33"/>
      <c r="AD26" s="33"/>
      <c r="AE26" s="33"/>
      <c r="AF26" s="33"/>
      <c r="AG26" s="92">
        <v>3510.16</v>
      </c>
      <c r="AH26" s="92">
        <v>107.4</v>
      </c>
    </row>
    <row r="27" spans="2:34" ht="14" x14ac:dyDescent="0.3">
      <c r="B27" s="18"/>
      <c r="C27" s="84"/>
      <c r="D27" s="18"/>
      <c r="E27" s="23"/>
      <c r="F27" s="45"/>
      <c r="Y27" s="92">
        <v>160285.35999999999</v>
      </c>
      <c r="Z27" s="92">
        <v>50268.15</v>
      </c>
      <c r="AA27" s="93">
        <v>0.35</v>
      </c>
      <c r="AB27" s="33"/>
      <c r="AC27" s="33"/>
      <c r="AD27" s="33"/>
      <c r="AE27" s="33"/>
      <c r="AF27" s="33"/>
      <c r="AG27" s="92">
        <v>3642.61</v>
      </c>
      <c r="AH27" s="92">
        <v>0</v>
      </c>
    </row>
    <row r="28" spans="2:34" ht="21.75" customHeight="1" thickBot="1" x14ac:dyDescent="0.35">
      <c r="B28" s="46" t="s">
        <v>22</v>
      </c>
      <c r="C28" s="90" t="e">
        <f>IF(C24&gt;C26,C24-C26,0)</f>
        <v>#NAME?</v>
      </c>
      <c r="D28" s="18"/>
      <c r="E28" s="23"/>
      <c r="F28" s="18"/>
      <c r="Y28" s="33"/>
      <c r="Z28" s="33"/>
      <c r="AA28" s="34"/>
    </row>
    <row r="29" spans="2:34" ht="20.25" customHeight="1" thickTop="1" thickBot="1" x14ac:dyDescent="0.35">
      <c r="C29" s="89"/>
      <c r="D29" s="18"/>
      <c r="E29" s="18"/>
      <c r="F29" s="18"/>
      <c r="Y29" s="33"/>
      <c r="Z29" s="33"/>
      <c r="AA29" s="33"/>
    </row>
    <row r="30" spans="2:34" ht="20.25" customHeight="1" thickTop="1" thickBot="1" x14ac:dyDescent="0.35">
      <c r="B30" s="47" t="s">
        <v>81</v>
      </c>
      <c r="C30" s="91" t="e">
        <f>IF(C24&lt;C26,C26-C24,0)</f>
        <v>#NAME?</v>
      </c>
      <c r="D30" s="18"/>
      <c r="E30" s="18"/>
      <c r="F30" s="18"/>
      <c r="Y30" s="33"/>
      <c r="Z30" s="33"/>
      <c r="AA30" s="33"/>
    </row>
    <row r="31" spans="2:34" ht="27.75" customHeight="1" thickTop="1" x14ac:dyDescent="0.3">
      <c r="D31" s="18"/>
      <c r="E31" s="18"/>
      <c r="F31" s="48"/>
    </row>
    <row r="32" spans="2:34" ht="20.25" customHeight="1" x14ac:dyDescent="0.3">
      <c r="D32" s="18"/>
      <c r="E32" s="18"/>
      <c r="F32" s="18"/>
    </row>
    <row r="33" spans="2:6" ht="20.25" customHeight="1" x14ac:dyDescent="0.3">
      <c r="B33" s="42"/>
      <c r="C33" s="42"/>
      <c r="D33" s="18"/>
      <c r="E33" s="18"/>
      <c r="F33" s="18"/>
    </row>
    <row r="34" spans="2:6" ht="20.25" customHeight="1" x14ac:dyDescent="0.35">
      <c r="B34" s="49" t="s">
        <v>91</v>
      </c>
      <c r="C34" s="42"/>
      <c r="D34" s="18"/>
      <c r="E34" s="18"/>
      <c r="F34" s="18"/>
    </row>
    <row r="35" spans="2:6" ht="20.25" customHeight="1" x14ac:dyDescent="0.3">
      <c r="B35" s="50"/>
      <c r="C35" s="42"/>
      <c r="D35" s="18"/>
      <c r="E35" s="18"/>
      <c r="F35" s="18"/>
    </row>
    <row r="36" spans="2:6" ht="20.25" customHeight="1" x14ac:dyDescent="0.3">
      <c r="B36" s="51"/>
      <c r="C36" s="52"/>
      <c r="D36" s="53"/>
      <c r="E36" s="53"/>
      <c r="F36" s="53"/>
    </row>
    <row r="37" spans="2:6" ht="20.25" customHeight="1" x14ac:dyDescent="0.35">
      <c r="B37" s="7"/>
      <c r="C37" s="7"/>
      <c r="D37" s="14"/>
      <c r="E37" s="14"/>
      <c r="F37" s="14"/>
    </row>
    <row r="38" spans="2:6" ht="20.25" customHeight="1" x14ac:dyDescent="0.35">
      <c r="B38" s="53" t="s">
        <v>77</v>
      </c>
      <c r="C38" s="54"/>
      <c r="D38" s="14"/>
      <c r="E38" s="14"/>
      <c r="F38" s="14"/>
    </row>
    <row r="39" spans="2:6" ht="6.75" customHeight="1" x14ac:dyDescent="0.25">
      <c r="B39" s="53"/>
      <c r="C39" s="53"/>
      <c r="D39" s="53"/>
      <c r="E39" s="53"/>
      <c r="F39" s="53"/>
    </row>
    <row r="40" spans="2:6" x14ac:dyDescent="0.25">
      <c r="B40" s="95" t="s">
        <v>23</v>
      </c>
      <c r="C40" s="55" t="e">
        <f>C28/2</f>
        <v>#NAME?</v>
      </c>
      <c r="D40" s="53"/>
      <c r="E40" s="53"/>
      <c r="F40" s="53"/>
    </row>
    <row r="41" spans="2:6" ht="15" customHeight="1" x14ac:dyDescent="0.25">
      <c r="B41" s="96" t="s">
        <v>90</v>
      </c>
      <c r="C41" s="56" t="e">
        <f>C30/4</f>
        <v>#NAME?</v>
      </c>
      <c r="D41" s="4"/>
      <c r="E41" s="4"/>
      <c r="F41" s="53"/>
    </row>
    <row r="42" spans="2:6" x14ac:dyDescent="0.25">
      <c r="B42" s="7"/>
      <c r="C42" s="57"/>
      <c r="D42" s="4"/>
      <c r="E42" s="4"/>
      <c r="F42" s="4"/>
    </row>
    <row r="43" spans="2:6" x14ac:dyDescent="0.25">
      <c r="B43" s="4"/>
      <c r="C43" s="4"/>
      <c r="D43" s="4"/>
      <c r="E43" s="4"/>
      <c r="F43" s="4"/>
    </row>
    <row r="44" spans="2:6" x14ac:dyDescent="0.25">
      <c r="B44" s="4"/>
      <c r="C44" s="4"/>
      <c r="D44" s="4"/>
      <c r="E44" s="4"/>
      <c r="F44" s="4"/>
    </row>
    <row r="45" spans="2:6" ht="10.5" customHeight="1" x14ac:dyDescent="0.25">
      <c r="B45" s="4"/>
      <c r="C45" s="4"/>
      <c r="D45" s="4"/>
      <c r="E45" s="4"/>
      <c r="F45" s="4"/>
    </row>
    <row r="46" spans="2:6" ht="18" customHeight="1" x14ac:dyDescent="0.35">
      <c r="B46" s="58" t="s">
        <v>24</v>
      </c>
      <c r="C46" s="59"/>
      <c r="D46" s="4"/>
      <c r="E46" s="4"/>
      <c r="F46" s="4"/>
    </row>
    <row r="47" spans="2:6" ht="17.25" customHeight="1" x14ac:dyDescent="0.35">
      <c r="B47" s="94" t="s">
        <v>191</v>
      </c>
      <c r="C47" s="59"/>
      <c r="D47" s="4"/>
      <c r="E47" s="4"/>
      <c r="F47" s="4"/>
    </row>
    <row r="48" spans="2:6" x14ac:dyDescent="0.25">
      <c r="B48" s="4"/>
      <c r="C48" s="4"/>
      <c r="D48" s="4"/>
      <c r="E48" s="4"/>
      <c r="F48" s="7"/>
    </row>
    <row r="49" spans="2:6" x14ac:dyDescent="0.25">
      <c r="B49" s="4"/>
      <c r="C49" s="4"/>
      <c r="D49" s="4"/>
      <c r="E49" s="4"/>
      <c r="F49" s="60"/>
    </row>
    <row r="50" spans="2:6" x14ac:dyDescent="0.25">
      <c r="B50" s="4"/>
      <c r="C50" s="4"/>
      <c r="D50" s="4"/>
      <c r="E50" s="4"/>
      <c r="F50" s="7"/>
    </row>
  </sheetData>
  <sheetProtection formatCells="0" formatColumns="0" formatRows="0" insertColumns="0" insertRows="0" insertHyperlinks="0" deleteColumns="0" deleteRows="0" sort="0" autoFilter="0" pivotTables="0"/>
  <mergeCells count="1">
    <mergeCell ref="Y11:AF11"/>
  </mergeCells>
  <phoneticPr fontId="0" type="noConversion"/>
  <printOptions horizontalCentered="1"/>
  <pageMargins left="0.23622047244094491" right="0.27559055118110237" top="1.2204724409448819" bottom="1.2598425196850394" header="10.472440944881891" footer="0.51181102362204722"/>
  <pageSetup scale="2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PROT.CIVIL</vt:lpstr>
      <vt:lpstr>SEG. PUBLICA</vt:lpstr>
      <vt:lpstr>Calculo ISPT 2018 quincenal</vt:lpstr>
      <vt:lpstr>BASE!Área_de_impresión</vt:lpstr>
      <vt:lpstr>EVENTUALES!Área_de_impresión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Credito1</vt:lpstr>
      <vt:lpstr>TARIFA1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User</cp:lastModifiedBy>
  <cp:lastPrinted>2022-01-26T17:19:36Z</cp:lastPrinted>
  <dcterms:created xsi:type="dcterms:W3CDTF">2000-05-05T04:08:27Z</dcterms:created>
  <dcterms:modified xsi:type="dcterms:W3CDTF">2022-05-16T19:16:27Z</dcterms:modified>
</cp:coreProperties>
</file>